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icenciamentos Arlindo\2019\EIV Hotel\PROTOCOLO\"/>
    </mc:Choice>
  </mc:AlternateContent>
  <bookViews>
    <workbookView xWindow="0" yWindow="0" windowWidth="28800" windowHeight="12435"/>
  </bookViews>
  <sheets>
    <sheet name="MATRIZ IMPACTOS" sheetId="1" r:id="rId1"/>
    <sheet name="VALOR CONTRAPARTIDA" sheetId="2" r:id="rId2"/>
  </sheets>
  <definedNames>
    <definedName name="_xlnm._FilterDatabase" localSheetId="0" hidden="1">'MATRIZ IMPACTOS'!$A$1:$O$32</definedName>
    <definedName name="_xlnm.Print_Area" localSheetId="0">'MATRIZ IMPACTOS'!$A$1:$T$33</definedName>
    <definedName name="_xlnm.Print_Area" localSheetId="1">'VALOR CONTRAPARTIDA'!$A$1:$D$37</definedName>
  </definedNames>
  <calcPr calcId="152511"/>
</workbook>
</file>

<file path=xl/calcChain.xml><?xml version="1.0" encoding="utf-8"?>
<calcChain xmlns="http://schemas.openxmlformats.org/spreadsheetml/2006/main">
  <c r="J14" i="1" l="1"/>
  <c r="N14" i="1" s="1"/>
  <c r="O14" i="1" s="1"/>
  <c r="O12" i="1"/>
  <c r="N12" i="1"/>
  <c r="J13" i="1"/>
  <c r="K13" i="1" s="1"/>
  <c r="K12" i="1"/>
  <c r="J12" i="1"/>
  <c r="J11" i="1"/>
  <c r="K11" i="1" s="1"/>
  <c r="N13" i="1" l="1"/>
  <c r="O13" i="1" s="1"/>
  <c r="K14" i="1"/>
  <c r="N11" i="1"/>
  <c r="O11" i="1" s="1"/>
  <c r="J15" i="1"/>
  <c r="K15" i="1" s="1"/>
  <c r="J10" i="1"/>
  <c r="K10" i="1" s="1"/>
  <c r="N9" i="1"/>
  <c r="O9" i="1" s="1"/>
  <c r="J9" i="1"/>
  <c r="K9" i="1" s="1"/>
  <c r="J6" i="1"/>
  <c r="K6" i="1" s="1"/>
  <c r="N10" i="1" l="1"/>
  <c r="O10" i="1" s="1"/>
  <c r="N16" i="1"/>
  <c r="O16" i="1" s="1"/>
  <c r="J16" i="1"/>
  <c r="K16" i="1" s="1"/>
  <c r="J8" i="1"/>
  <c r="K8" i="1" s="1"/>
  <c r="J7" i="1"/>
  <c r="N7" i="1" s="1"/>
  <c r="O7" i="1" s="1"/>
  <c r="J5" i="1"/>
  <c r="K5" i="1" s="1"/>
  <c r="C21" i="2"/>
  <c r="J4" i="1"/>
  <c r="K4" i="1" s="1"/>
  <c r="J3" i="1"/>
  <c r="K3" i="1" s="1"/>
  <c r="J2" i="1"/>
  <c r="K2" i="1" s="1"/>
  <c r="N8" i="1" l="1"/>
  <c r="O8" i="1" s="1"/>
  <c r="N3" i="1"/>
  <c r="O3" i="1" s="1"/>
  <c r="N4" i="1"/>
  <c r="O4" i="1" s="1"/>
  <c r="N2" i="1"/>
  <c r="O2" i="1" s="1"/>
  <c r="K7" i="1"/>
  <c r="N5" i="1"/>
  <c r="O5" i="1" s="1"/>
  <c r="N32" i="1"/>
  <c r="O32" i="1" s="1"/>
  <c r="J32" i="1"/>
  <c r="K32" i="1" s="1"/>
  <c r="J31" i="1"/>
  <c r="K31" i="1" s="1"/>
  <c r="N31" i="1"/>
  <c r="O31" i="1" s="1"/>
  <c r="N30" i="1"/>
  <c r="O30" i="1" s="1"/>
  <c r="J30" i="1"/>
  <c r="K30" i="1" s="1"/>
  <c r="J29" i="1"/>
  <c r="K29" i="1" s="1"/>
  <c r="N29" i="1"/>
  <c r="O29" i="1" s="1"/>
  <c r="N28" i="1"/>
  <c r="O28" i="1" s="1"/>
  <c r="J28" i="1"/>
  <c r="K28" i="1" s="1"/>
  <c r="J27" i="1"/>
  <c r="N27" i="1"/>
  <c r="O27" i="1" s="1"/>
  <c r="N26" i="1"/>
  <c r="O26" i="1" s="1"/>
  <c r="J26" i="1"/>
  <c r="K26" i="1" s="1"/>
  <c r="N25" i="1"/>
  <c r="O25" i="1" s="1"/>
  <c r="J25" i="1"/>
  <c r="K25" i="1" s="1"/>
  <c r="J24" i="1"/>
  <c r="K24" i="1" s="1"/>
  <c r="N24" i="1"/>
  <c r="O24" i="1" s="1"/>
  <c r="N23" i="1"/>
  <c r="O23" i="1" s="1"/>
  <c r="J23" i="1"/>
  <c r="K23" i="1" s="1"/>
  <c r="D26" i="2"/>
  <c r="D28" i="2"/>
  <c r="D27" i="2"/>
  <c r="D25" i="2"/>
  <c r="D18" i="2"/>
  <c r="C33" i="2"/>
  <c r="K27" i="1"/>
  <c r="J33" i="1" l="1"/>
  <c r="N33" i="1" l="1"/>
  <c r="O33" i="1" s="1"/>
  <c r="C24" i="2" s="1"/>
  <c r="C31" i="2" l="1"/>
  <c r="D24" i="2" l="1"/>
  <c r="C32" i="2"/>
  <c r="C35" i="2" s="1"/>
  <c r="C37" i="2" s="1"/>
  <c r="C38" i="2" s="1"/>
</calcChain>
</file>

<file path=xl/sharedStrings.xml><?xml version="1.0" encoding="utf-8"?>
<sst xmlns="http://schemas.openxmlformats.org/spreadsheetml/2006/main" count="89" uniqueCount="71">
  <si>
    <t>IMPACTO</t>
  </si>
  <si>
    <t>DESCRIÇÃO</t>
  </si>
  <si>
    <t>FASE DE OCORRÊNCIA</t>
  </si>
  <si>
    <t>EXPECTATIVA DE OCORRÊNCIA</t>
  </si>
  <si>
    <t>ABRANGÊNCIA</t>
  </si>
  <si>
    <t>IMPORTÂNCIA</t>
  </si>
  <si>
    <t>REVERSIBILIDADE</t>
  </si>
  <si>
    <t>PRAZO</t>
  </si>
  <si>
    <t>VALORAÇÃO</t>
  </si>
  <si>
    <t>MAGNITUDE</t>
  </si>
  <si>
    <t>MITIGAÇÃO (%)</t>
  </si>
  <si>
    <t>MAGNITUDE FINAL</t>
  </si>
  <si>
    <t>ÍNDICE DE MAGNITUDE</t>
  </si>
  <si>
    <t>VAL + MIT</t>
  </si>
  <si>
    <t>ZONA DO EMPREENDIMENTO</t>
  </si>
  <si>
    <t>ÁREA EMPREENDIMENTO (m²)</t>
  </si>
  <si>
    <t>CUB-SC (R$)</t>
  </si>
  <si>
    <t>VALOR DE INVESTIMENTO (R$)</t>
  </si>
  <si>
    <t>IM</t>
  </si>
  <si>
    <t>ISRN</t>
  </si>
  <si>
    <t>IA</t>
  </si>
  <si>
    <t>IT</t>
  </si>
  <si>
    <t>ICIV</t>
  </si>
  <si>
    <t>ISSU</t>
  </si>
  <si>
    <t>CIV</t>
  </si>
  <si>
    <t>IEU</t>
  </si>
  <si>
    <t>GI</t>
  </si>
  <si>
    <t>VC</t>
  </si>
  <si>
    <t>ÍNDICE MAGNITUDE</t>
  </si>
  <si>
    <t>ÍNDICE SOBRE RECURSOS NATURAIS</t>
  </si>
  <si>
    <t>ÍNDICE ABRANGÊNCIA</t>
  </si>
  <si>
    <t>ÍNDICE TEMPORALIDADE</t>
  </si>
  <si>
    <t>ÍNDICE COMPROMETIMENTO DE INFRAESTRUTURA DA VIZINHANÇA</t>
  </si>
  <si>
    <t>IMPACTO SOBRE SUSTENTABILIDADE</t>
  </si>
  <si>
    <t>COMPROMETIMENTO DA INFRAESTRUTURA DA VIZINHANÇA</t>
  </si>
  <si>
    <t>INFLUÊNCIA NOS ECOSSISTEMAS URBANOS</t>
  </si>
  <si>
    <t>GRAU DE IMPACTO (%)</t>
  </si>
  <si>
    <t>NATUREZA DO IMPACTO</t>
  </si>
  <si>
    <t>NEGATIVO</t>
  </si>
  <si>
    <t xml:space="preserve"> AÇÃO MITIGADORA / POTENCIALIZADORA</t>
  </si>
  <si>
    <t>POSITIVO</t>
  </si>
  <si>
    <t>Contaminação do solo por RCC</t>
  </si>
  <si>
    <t>VALOR DA CONTRAPARTIDA FINANCEIRA (CUB)</t>
  </si>
  <si>
    <t>VALOR DA CONTRAPARTIDA FINANCEIRA (R$)</t>
  </si>
  <si>
    <t xml:space="preserve"> Priorizar o recrutamento de trabalhadores do município de Balneário Camboriú;
Priorizar a compra de materiais de fornecedores da região.</t>
  </si>
  <si>
    <t>Uso e ocupação do solo</t>
  </si>
  <si>
    <t>Pressão sobre o sistema viário</t>
  </si>
  <si>
    <t>Geração de emprego e renda</t>
  </si>
  <si>
    <t>Geração de efluentes</t>
  </si>
  <si>
    <t xml:space="preserve"> Coleta e destinação final dos efluentes sanitários gerados no empreendimento para sistema composto de tanque séptico, filtro anaeróbio e sumidouro;
 Utilização de equipamentos de racionalização de água.
</t>
  </si>
  <si>
    <t xml:space="preserve">O empreendimento irá possuir 49 vagas para veículos e 10 vagas para motocicletas, garantindo assim, toda a demanda por estacionamento, sem haver qualquer uso da via para estacionamento ou parada;
Haverá vagas de serviço para carga e descarga de produtos e materiais; 
Área interna de circulação e manobras.
Implantação da via de acesso ao empreendimento, com acréscimo de área.
</t>
  </si>
  <si>
    <t>Geração de resíduos</t>
  </si>
  <si>
    <t>-</t>
  </si>
  <si>
    <t>Dinamização do setor econômico</t>
  </si>
  <si>
    <t>Priorizar o recrutamento de trabalhadores do município de Balneário Camboriú;
Priorizar a compra de matérias-primas e insumos de fornecedores da região.</t>
  </si>
  <si>
    <t>Aumento dos níveis de ruído</t>
  </si>
  <si>
    <t>Utilização de Equipamentos de Proteção Individual (EPI) por parte dos trabalhadores, de forma a garantir condições de saúde adequadas;
Execução das atividades nos seguintes dias e horários: segundas-feiras às sextas-feiras das 07:00h às 12:00h e das 13:00h às 18:00h e sábados das 07:00 h às 12:00 h;
Realização de manutenções periodicamente nos maquinários e equipamentos.</t>
  </si>
  <si>
    <t>Plano de Gerenciamento de Resíduos da Construção Civil – PGRCC;
Garantir o recolhimento e correto armazenamento dos resíduos produzidos no canteiro de obras;
Parte da estrutura já existente;
Sensibilização e educação ambiental para os trabalhadores da obra.</t>
  </si>
  <si>
    <t>Colocação de cones e placas de indicação, quando se tratar de descarga de materiais e concretagem, facilitando assim o fluxo de veículos;
Solicitar a entrega de matérias-primas e insumos em veículos/quantidades menores, proporcionando menor peso e pressão sobre as vias públicas;
 Planejamento da entrega de materiais em horários que o trânsito não esteja intenso, ou seja, fora dos horários de pico, o qual facilita o fluxo de veículos e pedestres nas vias públicas e reduz os riscos de acidentes de trânsito.</t>
  </si>
  <si>
    <t>Interferências na infraestrutura urbana</t>
  </si>
  <si>
    <t xml:space="preserve">O sistema sanitário da fase de obras será interligado à rede pública de coleta e tratamento operada pela EMASA;
Gerenciamento adequado dos resíduos gerados pelos funcionários;
Sensibilização e educação ambiental dos funcionários para o consumo consciente e redução dos desperdícios. </t>
  </si>
  <si>
    <t xml:space="preserve"> Sensibilização e conscientização dos funcionários para adequada separação dos resíduos recicláveis e comuns; 
Implantação de lixeiras, identificadas quanto ao tipo de material a ser depositado para adequada segregação.</t>
  </si>
  <si>
    <t>Alteração do padrão de insolação e sombreamento do entorno</t>
  </si>
  <si>
    <t>Evitar a utilização de materiais e revestimentos de fachada que contribuam para o aumento da reflexão e absorção da radiação do sol;
Incorporar elementos verdes ao empreendimento, especialmente nos terraços e no acesso para a via, a fim de reduzir os ganhos de calor, bem como para amenizar o desconforto gerado aos vizinhos quanto à reflexão direta dos raios solares;
 Utilização de materiais com índices baixos de absorção de calor e reflexão.</t>
  </si>
  <si>
    <t>Manter os recuos acima do embasamento sempre livres de elementos que possam obstruir a passagem do vento e reduzir a absorção de calor pelo solo;
Cobrir as áreas abertas com vegetação (gramíneas, forrações, arbustos ou árvores) de modo a reduzir a reflexão e criar microclima no nível térreo e na cobertura do embasamento.</t>
  </si>
  <si>
    <t>Demanda sobre o sistema viário</t>
  </si>
  <si>
    <t>Implantação de sinalização horizontal, faixa de pedestres na Rua 701, defronte à entrada principal do hotel, visto o alto fluxo de pedestres.O empreendimento irá possuir 106 vagas para veículos e 20 vagas para motocicletas;Local para embarque e desembarque de passageiros, em frente ao empreendimento, devidamente sinalizado.</t>
  </si>
  <si>
    <t>Demanda por abastecimento de água</t>
  </si>
  <si>
    <t>Implantação de métodos de redução de consumo de água, como por exemplo: aeradores, torneiras com acionamento automático nas áreas comuns, descargas sanitárias com consumo de água reduzida;
Instalação de sistema de coleta, armazenamento e utilização de águas pluviais com capacidade para 32.456 L, para as descargas sanitárias e limpeza das áreas comuns, como calçadas, garagens, etc;
Treinamento dos funcionários e a sensibilização dos hóspedes, buscando o uso racional da água.</t>
  </si>
  <si>
    <t>Demanda por energia elétrica</t>
  </si>
  <si>
    <t>Utilização de sensores de presença nas áreas comuns do prédio;
Utilização de lâmpadas LED;
Uso de cartões magnéticos que, além de abrirem as portas dos quartos, acionam a eletricidade do local, evitando o desperdício de consumo quando não houver ninguém nos aposentos.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</si>
</sst>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</fills>
  <borders count="9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4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44" fontId="2" fillId="3" borderId="1" xfId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right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43" fontId="1" fillId="5" borderId="1" xfId="3" applyFont="1" applyFill="1" applyBorder="1" applyAlignment="1" applyProtection="1">
      <alignment horizontal="center" vertical="center"/>
      <protection locked="0"/>
    </xf>
    <xf numFmtId="44" fontId="1" fillId="5" borderId="1" xfId="1" applyFont="1" applyFill="1" applyBorder="1" applyAlignment="1" applyProtection="1">
      <alignment horizontal="center" vertical="center"/>
      <protection locked="0"/>
    </xf>
    <xf numFmtId="44" fontId="1" fillId="6" borderId="1" xfId="1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44" fontId="1" fillId="0" borderId="0" xfId="1" applyFont="1" applyAlignment="1">
      <alignment vertical="center"/>
    </xf>
    <xf numFmtId="0" fontId="5" fillId="7" borderId="4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textRotation="90" wrapText="1"/>
    </xf>
    <xf numFmtId="0" fontId="5" fillId="7" borderId="4" xfId="0" applyNumberFormat="1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7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1" fontId="6" fillId="0" borderId="4" xfId="2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0" fillId="8" borderId="8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vertical="center"/>
    </xf>
    <xf numFmtId="2" fontId="6" fillId="8" borderId="6" xfId="0" applyNumberFormat="1" applyFont="1" applyFill="1" applyBorder="1" applyAlignment="1">
      <alignment vertical="center"/>
    </xf>
    <xf numFmtId="0" fontId="0" fillId="8" borderId="6" xfId="0" applyNumberFormat="1" applyFont="1" applyFill="1" applyBorder="1" applyAlignment="1">
      <alignment horizontal="center" vertical="center"/>
    </xf>
    <xf numFmtId="1" fontId="6" fillId="8" borderId="6" xfId="2" applyNumberFormat="1" applyFont="1" applyFill="1" applyBorder="1" applyAlignment="1">
      <alignment horizontal="center" vertical="center"/>
    </xf>
    <xf numFmtId="0" fontId="0" fillId="8" borderId="6" xfId="0" applyNumberFormat="1" applyFont="1" applyFill="1" applyBorder="1" applyAlignment="1">
      <alignment vertical="center"/>
    </xf>
    <xf numFmtId="0" fontId="0" fillId="9" borderId="8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vertical="center"/>
    </xf>
    <xf numFmtId="2" fontId="6" fillId="9" borderId="6" xfId="0" applyNumberFormat="1" applyFont="1" applyFill="1" applyBorder="1" applyAlignment="1">
      <alignment vertical="center"/>
    </xf>
    <xf numFmtId="0" fontId="0" fillId="9" borderId="6" xfId="0" applyNumberFormat="1" applyFont="1" applyFill="1" applyBorder="1" applyAlignment="1">
      <alignment horizontal="center" vertical="center"/>
    </xf>
    <xf numFmtId="1" fontId="6" fillId="9" borderId="6" xfId="2" applyNumberFormat="1" applyFont="1" applyFill="1" applyBorder="1" applyAlignment="1">
      <alignment horizontal="center" vertical="center"/>
    </xf>
    <xf numFmtId="0" fontId="0" fillId="9" borderId="6" xfId="0" applyNumberFormat="1" applyFont="1" applyFill="1" applyBorder="1" applyAlignment="1">
      <alignment vertical="center"/>
    </xf>
    <xf numFmtId="0" fontId="0" fillId="9" borderId="6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horizontal="center" vertical="center"/>
    </xf>
    <xf numFmtId="1" fontId="6" fillId="0" borderId="6" xfId="2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3" fillId="9" borderId="6" xfId="0" applyFont="1" applyFill="1" applyBorder="1" applyAlignment="1">
      <alignment vertical="center"/>
    </xf>
    <xf numFmtId="0" fontId="0" fillId="8" borderId="6" xfId="0" applyFont="1" applyFill="1" applyBorder="1" applyAlignment="1">
      <alignment horizontal="center" vertical="center" wrapText="1"/>
    </xf>
    <xf numFmtId="0" fontId="0" fillId="9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1" fontId="6" fillId="0" borderId="5" xfId="2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right" vertical="center" indent="1"/>
    </xf>
    <xf numFmtId="0" fontId="0" fillId="4" borderId="2" xfId="0" applyFill="1" applyBorder="1" applyAlignment="1">
      <alignment horizontal="right" vertical="center" indent="1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63"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ont>
        <color theme="9"/>
      </font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ont>
        <color theme="9"/>
      </font>
    </dxf>
    <dxf>
      <font>
        <color rgb="FFC00000"/>
      </font>
    </dxf>
    <dxf>
      <font>
        <color theme="9"/>
      </font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ont>
        <color theme="9"/>
      </font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ont>
        <color theme="9"/>
      </font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MI GERAL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dk1"/>
            </a:solidFill>
            <a:ln w="12700" cap="flat" cmpd="sng" algn="ctr">
              <a:solidFill>
                <a:schemeClr val="dk1">
                  <a:shade val="50000"/>
                </a:schemeClr>
              </a:solidFill>
              <a:prstDash val="solid"/>
              <a:miter lim="800000"/>
            </a:ln>
            <a:effectLst/>
          </c:spPr>
          <c:val>
            <c:numRef>
              <c:f>('MATRIZ IMPACTOS'!$J$2:$J$16,'MATRIZ IMPACTOS'!$J$19:$J$22)</c:f>
              <c:numCache>
                <c:formatCode>0.00</c:formatCode>
                <c:ptCount val="15"/>
                <c:pt idx="0">
                  <c:v>56.699999999999996</c:v>
                </c:pt>
                <c:pt idx="1">
                  <c:v>56.900000000000006</c:v>
                </c:pt>
                <c:pt idx="2">
                  <c:v>66.5</c:v>
                </c:pt>
                <c:pt idx="3">
                  <c:v>66.300000000000011</c:v>
                </c:pt>
                <c:pt idx="4">
                  <c:v>75.900000000000006</c:v>
                </c:pt>
                <c:pt idx="5">
                  <c:v>104.1</c:v>
                </c:pt>
                <c:pt idx="6">
                  <c:v>85.7</c:v>
                </c:pt>
                <c:pt idx="7">
                  <c:v>94.9</c:v>
                </c:pt>
                <c:pt idx="8">
                  <c:v>123.30000000000001</c:v>
                </c:pt>
                <c:pt idx="9">
                  <c:v>123.30000000000001</c:v>
                </c:pt>
                <c:pt idx="10">
                  <c:v>95.5</c:v>
                </c:pt>
                <c:pt idx="11">
                  <c:v>95.5</c:v>
                </c:pt>
                <c:pt idx="12">
                  <c:v>86.100000000000009</c:v>
                </c:pt>
                <c:pt idx="13">
                  <c:v>123.1</c:v>
                </c:pt>
                <c:pt idx="14">
                  <c:v>132.69999999999999</c:v>
                </c:pt>
              </c:numCache>
            </c:numRef>
          </c:val>
        </c:ser>
        <c:ser>
          <c:idx val="1"/>
          <c:order val="1"/>
          <c:val>
            <c:numRef>
              <c:f>('MATRIZ IMPACTOS'!$N$2:$N$16,'MATRIZ IMPACTOS'!$N$19:$N$22)</c:f>
              <c:numCache>
                <c:formatCode>General</c:formatCode>
                <c:ptCount val="15"/>
                <c:pt idx="0">
                  <c:v>51.029999999999994</c:v>
                </c:pt>
                <c:pt idx="1">
                  <c:v>28.450000000000003</c:v>
                </c:pt>
                <c:pt idx="2">
                  <c:v>46.55</c:v>
                </c:pt>
                <c:pt idx="3">
                  <c:v>46.410000000000011</c:v>
                </c:pt>
                <c:pt idx="4">
                  <c:v>0</c:v>
                </c:pt>
                <c:pt idx="5">
                  <c:v>93.69</c:v>
                </c:pt>
                <c:pt idx="6">
                  <c:v>42.85</c:v>
                </c:pt>
                <c:pt idx="7">
                  <c:v>85.410000000000011</c:v>
                </c:pt>
                <c:pt idx="8">
                  <c:v>86.31</c:v>
                </c:pt>
                <c:pt idx="9">
                  <c:v>86.31</c:v>
                </c:pt>
                <c:pt idx="10">
                  <c:v>47.75</c:v>
                </c:pt>
                <c:pt idx="11">
                  <c:v>47.75</c:v>
                </c:pt>
                <c:pt idx="12">
                  <c:v>43.050000000000011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0736"/>
        <c:axId val="2281296"/>
      </c:radarChart>
      <c:catAx>
        <c:axId val="228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281296"/>
        <c:crosses val="autoZero"/>
        <c:auto val="0"/>
        <c:lblAlgn val="ctr"/>
        <c:lblOffset val="100"/>
        <c:noMultiLvlLbl val="0"/>
      </c:catAx>
      <c:valAx>
        <c:axId val="228129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crossAx val="228073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tx1">
        <a:lumMod val="50000"/>
        <a:lumOff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MI OPERAÇÃO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v>Antes</c:v>
          </c:tx>
          <c:spPr>
            <a:solidFill>
              <a:schemeClr val="dk1"/>
            </a:solidFill>
            <a:ln w="12700" cap="flat" cmpd="sng" algn="ctr">
              <a:solidFill>
                <a:schemeClr val="dk1">
                  <a:shade val="50000"/>
                </a:schemeClr>
              </a:solidFill>
              <a:prstDash val="solid"/>
              <a:miter lim="800000"/>
            </a:ln>
            <a:effectLst/>
          </c:spPr>
          <c:val>
            <c:numRef>
              <c:f>('MATRIZ IMPACTOS'!$J$2:$J$3,'MATRIZ IMPACTOS'!$J$7:$J$8,'MATRIZ IMPACTOS'!$J$18:$J$20)</c:f>
              <c:numCache>
                <c:formatCode>0.00</c:formatCode>
                <c:ptCount val="4"/>
                <c:pt idx="0">
                  <c:v>56.699999999999996</c:v>
                </c:pt>
                <c:pt idx="1">
                  <c:v>56.900000000000006</c:v>
                </c:pt>
                <c:pt idx="2">
                  <c:v>104.1</c:v>
                </c:pt>
                <c:pt idx="3">
                  <c:v>85.7</c:v>
                </c:pt>
              </c:numCache>
            </c:numRef>
          </c:val>
        </c:ser>
        <c:ser>
          <c:idx val="1"/>
          <c:order val="1"/>
          <c:tx>
            <c:v>Depois</c:v>
          </c:tx>
          <c:spPr>
            <a:solidFill>
              <a:schemeClr val="bg2">
                <a:lumMod val="50000"/>
              </a:schemeClr>
            </a:solidFill>
            <a:ln w="12700" cap="flat" cmpd="sng" algn="ctr">
              <a:solidFill>
                <a:sysClr val="windowText" lastClr="000000"/>
              </a:solidFill>
              <a:prstDash val="solid"/>
              <a:miter lim="800000"/>
            </a:ln>
            <a:effectLst/>
          </c:spPr>
          <c:val>
            <c:numRef>
              <c:f>('MATRIZ IMPACTOS'!$N$2:$N$3,'MATRIZ IMPACTOS'!$N$7:$N$8,'MATRIZ IMPACTOS'!$N$18:$N$20)</c:f>
              <c:numCache>
                <c:formatCode>General</c:formatCode>
                <c:ptCount val="4"/>
                <c:pt idx="0">
                  <c:v>51.029999999999994</c:v>
                </c:pt>
                <c:pt idx="1">
                  <c:v>28.450000000000003</c:v>
                </c:pt>
                <c:pt idx="2">
                  <c:v>93.69</c:v>
                </c:pt>
                <c:pt idx="3">
                  <c:v>42.85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4096"/>
        <c:axId val="2284656"/>
      </c:radarChart>
      <c:catAx>
        <c:axId val="228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284656"/>
        <c:crosses val="autoZero"/>
        <c:auto val="0"/>
        <c:lblAlgn val="ctr"/>
        <c:lblOffset val="100"/>
        <c:noMultiLvlLbl val="0"/>
      </c:catAx>
      <c:valAx>
        <c:axId val="22846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crossAx val="22840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tx1">
        <a:lumMod val="50000"/>
        <a:lumOff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112939</xdr:colOff>
      <xdr:row>17</xdr:row>
      <xdr:rowOff>297997</xdr:rowOff>
    </xdr:from>
    <xdr:to>
      <xdr:col>19</xdr:col>
      <xdr:colOff>474889</xdr:colOff>
      <xdr:row>24</xdr:row>
      <xdr:rowOff>217715</xdr:rowOff>
    </xdr:to>
    <xdr:graphicFrame macro="">
      <xdr:nvGraphicFramePr>
        <xdr:cNvPr id="116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112939</xdr:colOff>
      <xdr:row>24</xdr:row>
      <xdr:rowOff>330654</xdr:rowOff>
    </xdr:from>
    <xdr:to>
      <xdr:col>19</xdr:col>
      <xdr:colOff>503464</xdr:colOff>
      <xdr:row>32</xdr:row>
      <xdr:rowOff>202747</xdr:rowOff>
    </xdr:to>
    <xdr:graphicFrame macro="">
      <xdr:nvGraphicFramePr>
        <xdr:cNvPr id="1169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428625</xdr:colOff>
      <xdr:row>0</xdr:row>
      <xdr:rowOff>123825</xdr:rowOff>
    </xdr:from>
    <xdr:to>
      <xdr:col>19</xdr:col>
      <xdr:colOff>209550</xdr:colOff>
      <xdr:row>1</xdr:row>
      <xdr:rowOff>1257300</xdr:rowOff>
    </xdr:to>
    <xdr:pic>
      <xdr:nvPicPr>
        <xdr:cNvPr id="1170" name="Imagem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07075" y="123825"/>
          <a:ext cx="2219325" cy="2371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466725</xdr:colOff>
      <xdr:row>6</xdr:row>
      <xdr:rowOff>19050</xdr:rowOff>
    </xdr:from>
    <xdr:to>
      <xdr:col>19</xdr:col>
      <xdr:colOff>161925</xdr:colOff>
      <xdr:row>6</xdr:row>
      <xdr:rowOff>1104900</xdr:rowOff>
    </xdr:to>
    <xdr:pic>
      <xdr:nvPicPr>
        <xdr:cNvPr id="1171" name="Imagem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45175" y="2781300"/>
          <a:ext cx="21336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104775</xdr:colOff>
      <xdr:row>1</xdr:row>
      <xdr:rowOff>76200</xdr:rowOff>
    </xdr:from>
    <xdr:to>
      <xdr:col>3</xdr:col>
      <xdr:colOff>2228850</xdr:colOff>
      <xdr:row>7</xdr:row>
      <xdr:rowOff>19050</xdr:rowOff>
    </xdr:to>
    <xdr:pic>
      <xdr:nvPicPr>
        <xdr:cNvPr id="2100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266700"/>
          <a:ext cx="21240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190500</xdr:colOff>
      <xdr:row>0</xdr:row>
      <xdr:rowOff>142875</xdr:rowOff>
    </xdr:from>
    <xdr:to>
      <xdr:col>0</xdr:col>
      <xdr:colOff>3124200</xdr:colOff>
      <xdr:row>6</xdr:row>
      <xdr:rowOff>133350</xdr:rowOff>
    </xdr:to>
    <xdr:pic>
      <xdr:nvPicPr>
        <xdr:cNvPr id="2101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42875"/>
          <a:ext cx="29337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A1:O33" totalsRowShown="0" headerRowDxfId="62" dataDxfId="61">
  <autoFilter ref="A1:O33"/>
  <sortState ref="A2:O26">
    <sortCondition ref="B1:B26"/>
  </sortState>
  <tableColumns count="15">
    <tableColumn id="1" name="IMPACTO" dataDxfId="60"/>
    <tableColumn id="2" name="DESCRIÇÃO" dataDxfId="59"/>
    <tableColumn id="3" name="NATUREZA DO IMPACTO" dataDxfId="58"/>
    <tableColumn id="4" name="FASE DE OCORRÊNCIA" dataDxfId="57"/>
    <tableColumn id="5" name="EXPECTATIVA DE OCORRÊNCIA" dataDxfId="56"/>
    <tableColumn id="6" name="ABRANGÊNCIA" dataDxfId="55"/>
    <tableColumn id="7" name="IMPORTÂNCIA" dataDxfId="54"/>
    <tableColumn id="8" name="REVERSIBILIDADE" dataDxfId="53"/>
    <tableColumn id="9" name="PRAZO" dataDxfId="52"/>
    <tableColumn id="10" name="VALORAÇÃO" dataDxfId="51"/>
    <tableColumn id="11" name="MAGNITUDE" dataDxfId="50"/>
    <tableColumn id="12" name=" AÇÃO MITIGADORA / POTENCIALIZADORA" dataDxfId="49"/>
    <tableColumn id="13" name="MITIGAÇÃO (%)" dataDxfId="48"/>
    <tableColumn id="14" name="VAL + MIT" dataDxfId="47"/>
    <tableColumn id="15" name="MAGNITUDE FINAL" dataDxfId="46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O33"/>
  <sheetViews>
    <sheetView tabSelected="1" topLeftCell="A13" zoomScale="70" zoomScaleNormal="70" workbookViewId="0">
      <selection activeCell="O33" sqref="A1:O33"/>
    </sheetView>
  </sheetViews>
  <sheetFormatPr defaultRowHeight="15" x14ac:dyDescent="0.25"/>
  <cols>
    <col min="1" max="1" width="52.28515625" style="25" customWidth="1"/>
    <col min="2" max="2" width="52.28515625" style="25" hidden="1" customWidth="1"/>
    <col min="3" max="3" width="31.28515625" customWidth="1"/>
    <col min="4" max="11" width="8.42578125" customWidth="1"/>
    <col min="12" max="12" width="51.5703125" customWidth="1"/>
    <col min="13" max="13" width="14.42578125" customWidth="1"/>
    <col min="14" max="14" width="14.7109375" customWidth="1"/>
    <col min="15" max="15" width="24.42578125" customWidth="1"/>
  </cols>
  <sheetData>
    <row r="1" spans="1:15" s="1" customFormat="1" ht="97.5" customHeight="1" thickBot="1" x14ac:dyDescent="0.3">
      <c r="A1" s="19" t="s">
        <v>0</v>
      </c>
      <c r="B1" s="20" t="s">
        <v>1</v>
      </c>
      <c r="C1" s="20" t="s">
        <v>37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1" t="s">
        <v>9</v>
      </c>
      <c r="L1" s="20" t="s">
        <v>39</v>
      </c>
      <c r="M1" s="20" t="s">
        <v>10</v>
      </c>
      <c r="N1" s="20" t="s">
        <v>13</v>
      </c>
      <c r="O1" s="20" t="s">
        <v>11</v>
      </c>
    </row>
    <row r="2" spans="1:15" s="26" customFormat="1" ht="135.75" customHeight="1" thickTop="1" thickBot="1" x14ac:dyDescent="0.3">
      <c r="A2" s="27" t="s">
        <v>55</v>
      </c>
      <c r="B2" s="28">
        <v>1</v>
      </c>
      <c r="C2" s="29" t="s">
        <v>38</v>
      </c>
      <c r="D2" s="30">
        <v>1</v>
      </c>
      <c r="E2" s="30">
        <v>1</v>
      </c>
      <c r="F2" s="30">
        <v>3</v>
      </c>
      <c r="G2" s="30">
        <v>3</v>
      </c>
      <c r="H2" s="30">
        <v>3</v>
      </c>
      <c r="I2" s="30">
        <v>1</v>
      </c>
      <c r="J2" s="45">
        <f t="shared" ref="J2:J16" si="0">IF($D2&lt;&gt;0,($D2*5+$E2*4.9+$F2*4.8+$G2*4.7+$H2*4.6+$I2*4.5),"")</f>
        <v>56.699999999999996</v>
      </c>
      <c r="K2" s="29" t="str">
        <f t="shared" ref="K2:K16" si="1">IF($J2&lt;=33.17,"NULA",(IF($J2&lt;=66.35,"BAIXA",(IF($J2&lt;=99.52,"MÉDIA",(IF($J2&lt;=132.7,"ALTA","")))))))</f>
        <v>BAIXA</v>
      </c>
      <c r="L2" s="63" t="s">
        <v>56</v>
      </c>
      <c r="M2" s="31">
        <v>10</v>
      </c>
      <c r="N2" s="32">
        <f t="shared" ref="N2:N16" si="2">IF($C2="NEGATIVO",(IF($D2&lt;&gt;0,($J2-($M2*$J2/100)),"")),(IF($C2="POSITIVO","POSITIVO","")))</f>
        <v>51.029999999999994</v>
      </c>
      <c r="O2" s="29" t="str">
        <f t="shared" ref="O2:O16" si="3">IF($N2&lt;=33.17,"NULA",(IF($N2&lt;=66.35,"BAIXA",(IF($N2&lt;=99.52,"MÉDIA",(IF($N2&lt;=132.7,"ALTA","")))))))</f>
        <v>BAIXA</v>
      </c>
    </row>
    <row r="3" spans="1:15" ht="114" customHeight="1" thickTop="1" thickBot="1" x14ac:dyDescent="0.3">
      <c r="A3" s="64" t="s">
        <v>41</v>
      </c>
      <c r="B3" s="65"/>
      <c r="C3" s="66" t="s">
        <v>38</v>
      </c>
      <c r="D3" s="67">
        <v>1</v>
      </c>
      <c r="E3" s="67">
        <v>3</v>
      </c>
      <c r="F3" s="67">
        <v>1</v>
      </c>
      <c r="G3" s="67">
        <v>3</v>
      </c>
      <c r="H3" s="67">
        <v>3</v>
      </c>
      <c r="I3" s="67">
        <v>1</v>
      </c>
      <c r="J3" s="45">
        <f t="shared" si="0"/>
        <v>56.900000000000006</v>
      </c>
      <c r="K3" s="29" t="str">
        <f t="shared" si="1"/>
        <v>BAIXA</v>
      </c>
      <c r="L3" s="63" t="s">
        <v>57</v>
      </c>
      <c r="M3" s="68">
        <v>50</v>
      </c>
      <c r="N3" s="32">
        <f t="shared" si="2"/>
        <v>28.450000000000003</v>
      </c>
      <c r="O3" s="29" t="str">
        <f t="shared" si="3"/>
        <v>NULA</v>
      </c>
    </row>
    <row r="4" spans="1:15" ht="174.75" customHeight="1" thickTop="1" x14ac:dyDescent="0.25">
      <c r="A4" s="64" t="s">
        <v>46</v>
      </c>
      <c r="B4" s="65"/>
      <c r="C4" s="66" t="s">
        <v>38</v>
      </c>
      <c r="D4" s="67">
        <v>1</v>
      </c>
      <c r="E4" s="67">
        <v>3</v>
      </c>
      <c r="F4" s="67">
        <v>3</v>
      </c>
      <c r="G4" s="67">
        <v>3</v>
      </c>
      <c r="H4" s="67">
        <v>3</v>
      </c>
      <c r="I4" s="67">
        <v>1</v>
      </c>
      <c r="J4" s="45">
        <f t="shared" si="0"/>
        <v>66.5</v>
      </c>
      <c r="K4" s="29" t="str">
        <f t="shared" si="1"/>
        <v>MÉDIA</v>
      </c>
      <c r="L4" s="60" t="s">
        <v>58</v>
      </c>
      <c r="M4" s="68">
        <v>30</v>
      </c>
      <c r="N4" s="32">
        <f t="shared" si="2"/>
        <v>46.55</v>
      </c>
      <c r="O4" s="29" t="str">
        <f t="shared" si="3"/>
        <v>BAIXA</v>
      </c>
    </row>
    <row r="5" spans="1:15" ht="123" customHeight="1" x14ac:dyDescent="0.25">
      <c r="A5" s="41" t="s">
        <v>59</v>
      </c>
      <c r="B5" s="42"/>
      <c r="C5" s="43" t="s">
        <v>38</v>
      </c>
      <c r="D5" s="44">
        <v>1</v>
      </c>
      <c r="E5" s="44">
        <v>3</v>
      </c>
      <c r="F5" s="44">
        <v>3</v>
      </c>
      <c r="G5" s="44">
        <v>1</v>
      </c>
      <c r="H5" s="44">
        <v>5</v>
      </c>
      <c r="I5" s="44">
        <v>1</v>
      </c>
      <c r="J5" s="45">
        <f t="shared" si="0"/>
        <v>66.300000000000011</v>
      </c>
      <c r="K5" s="46" t="str">
        <f t="shared" si="1"/>
        <v>BAIXA</v>
      </c>
      <c r="L5" s="60" t="s">
        <v>60</v>
      </c>
      <c r="M5" s="47">
        <v>30</v>
      </c>
      <c r="N5" s="48">
        <f t="shared" si="2"/>
        <v>46.410000000000011</v>
      </c>
      <c r="O5" s="46" t="str">
        <f t="shared" si="3"/>
        <v>BAIXA</v>
      </c>
    </row>
    <row r="6" spans="1:15" ht="86.25" customHeight="1" x14ac:dyDescent="0.25">
      <c r="A6" s="41" t="s">
        <v>47</v>
      </c>
      <c r="B6" s="42"/>
      <c r="C6" s="43" t="s">
        <v>40</v>
      </c>
      <c r="D6" s="44">
        <v>1</v>
      </c>
      <c r="E6" s="44">
        <v>3</v>
      </c>
      <c r="F6" s="44">
        <v>5</v>
      </c>
      <c r="G6" s="44">
        <v>1</v>
      </c>
      <c r="H6" s="44">
        <v>5</v>
      </c>
      <c r="I6" s="44">
        <v>1</v>
      </c>
      <c r="J6" s="45">
        <f t="shared" si="0"/>
        <v>75.900000000000006</v>
      </c>
      <c r="K6" s="46" t="str">
        <f t="shared" si="1"/>
        <v>MÉDIA</v>
      </c>
      <c r="L6" s="63" t="s">
        <v>44</v>
      </c>
      <c r="M6" s="47">
        <v>0</v>
      </c>
      <c r="N6" s="48" t="s">
        <v>40</v>
      </c>
      <c r="O6" s="46"/>
    </row>
    <row r="7" spans="1:15" ht="107.25" customHeight="1" x14ac:dyDescent="0.25">
      <c r="A7" s="41" t="s">
        <v>48</v>
      </c>
      <c r="B7" s="42"/>
      <c r="C7" s="43" t="s">
        <v>38</v>
      </c>
      <c r="D7" s="44">
        <v>5</v>
      </c>
      <c r="E7" s="44">
        <v>3</v>
      </c>
      <c r="F7" s="44">
        <v>1</v>
      </c>
      <c r="G7" s="44">
        <v>3</v>
      </c>
      <c r="H7" s="44">
        <v>5</v>
      </c>
      <c r="I7" s="44">
        <v>5</v>
      </c>
      <c r="J7" s="45">
        <f t="shared" si="0"/>
        <v>104.1</v>
      </c>
      <c r="K7" s="46" t="str">
        <f t="shared" si="1"/>
        <v>ALTA</v>
      </c>
      <c r="L7" s="63" t="s">
        <v>49</v>
      </c>
      <c r="M7" s="47">
        <v>10</v>
      </c>
      <c r="N7" s="48">
        <f t="shared" si="2"/>
        <v>93.69</v>
      </c>
      <c r="O7" s="46" t="str">
        <f t="shared" si="3"/>
        <v>MÉDIA</v>
      </c>
    </row>
    <row r="8" spans="1:15" ht="139.5" customHeight="1" x14ac:dyDescent="0.25">
      <c r="A8" s="41" t="s">
        <v>46</v>
      </c>
      <c r="B8" s="42"/>
      <c r="C8" s="43" t="s">
        <v>38</v>
      </c>
      <c r="D8" s="44">
        <v>5</v>
      </c>
      <c r="E8" s="44">
        <v>1</v>
      </c>
      <c r="F8" s="44">
        <v>3</v>
      </c>
      <c r="G8" s="44">
        <v>3</v>
      </c>
      <c r="H8" s="44">
        <v>3</v>
      </c>
      <c r="I8" s="44">
        <v>3</v>
      </c>
      <c r="J8" s="45">
        <f t="shared" si="0"/>
        <v>85.7</v>
      </c>
      <c r="K8" s="46" t="str">
        <f t="shared" si="1"/>
        <v>MÉDIA</v>
      </c>
      <c r="L8" s="63" t="s">
        <v>50</v>
      </c>
      <c r="M8" s="47">
        <v>50</v>
      </c>
      <c r="N8" s="48">
        <f t="shared" si="2"/>
        <v>42.85</v>
      </c>
      <c r="O8" s="46" t="str">
        <f t="shared" si="3"/>
        <v>BAIXA</v>
      </c>
    </row>
    <row r="9" spans="1:15" ht="96.75" customHeight="1" x14ac:dyDescent="0.25">
      <c r="A9" s="41" t="s">
        <v>51</v>
      </c>
      <c r="B9" s="42"/>
      <c r="C9" s="43" t="s">
        <v>38</v>
      </c>
      <c r="D9" s="44">
        <v>5</v>
      </c>
      <c r="E9" s="44">
        <v>3</v>
      </c>
      <c r="F9" s="44">
        <v>1</v>
      </c>
      <c r="G9" s="44">
        <v>3</v>
      </c>
      <c r="H9" s="44">
        <v>3</v>
      </c>
      <c r="I9" s="44">
        <v>5</v>
      </c>
      <c r="J9" s="45">
        <f t="shared" si="0"/>
        <v>94.9</v>
      </c>
      <c r="K9" s="46" t="str">
        <f t="shared" si="1"/>
        <v>MÉDIA</v>
      </c>
      <c r="L9" s="63" t="s">
        <v>61</v>
      </c>
      <c r="M9" s="47">
        <v>10</v>
      </c>
      <c r="N9" s="48">
        <f t="shared" si="2"/>
        <v>85.410000000000011</v>
      </c>
      <c r="O9" s="46" t="str">
        <f t="shared" si="3"/>
        <v>MÉDIA</v>
      </c>
    </row>
    <row r="10" spans="1:15" ht="153.75" customHeight="1" x14ac:dyDescent="0.25">
      <c r="A10" s="41" t="s">
        <v>62</v>
      </c>
      <c r="B10" s="42"/>
      <c r="C10" s="43" t="s">
        <v>38</v>
      </c>
      <c r="D10" s="44">
        <v>5</v>
      </c>
      <c r="E10" s="44">
        <v>3</v>
      </c>
      <c r="F10" s="44">
        <v>5</v>
      </c>
      <c r="G10" s="44">
        <v>3</v>
      </c>
      <c r="H10" s="44">
        <v>5</v>
      </c>
      <c r="I10" s="44">
        <v>5</v>
      </c>
      <c r="J10" s="45">
        <f t="shared" si="0"/>
        <v>123.30000000000001</v>
      </c>
      <c r="K10" s="46" t="str">
        <f t="shared" si="1"/>
        <v>ALTA</v>
      </c>
      <c r="L10" s="63" t="s">
        <v>63</v>
      </c>
      <c r="M10" s="47">
        <v>30</v>
      </c>
      <c r="N10" s="48">
        <f t="shared" si="2"/>
        <v>86.31</v>
      </c>
      <c r="O10" s="46" t="str">
        <f t="shared" si="3"/>
        <v>MÉDIA</v>
      </c>
    </row>
    <row r="11" spans="1:15" ht="111.75" customHeight="1" x14ac:dyDescent="0.25">
      <c r="A11" s="41" t="s">
        <v>62</v>
      </c>
      <c r="B11" s="42"/>
      <c r="C11" s="43" t="s">
        <v>38</v>
      </c>
      <c r="D11" s="44">
        <v>5</v>
      </c>
      <c r="E11" s="44">
        <v>3</v>
      </c>
      <c r="F11" s="44">
        <v>5</v>
      </c>
      <c r="G11" s="44">
        <v>3</v>
      </c>
      <c r="H11" s="44">
        <v>5</v>
      </c>
      <c r="I11" s="44">
        <v>5</v>
      </c>
      <c r="J11" s="45">
        <f t="shared" si="0"/>
        <v>123.30000000000001</v>
      </c>
      <c r="K11" s="46" t="str">
        <f t="shared" si="1"/>
        <v>ALTA</v>
      </c>
      <c r="L11" s="63" t="s">
        <v>64</v>
      </c>
      <c r="M11" s="47">
        <v>30</v>
      </c>
      <c r="N11" s="48">
        <f t="shared" si="2"/>
        <v>86.31</v>
      </c>
      <c r="O11" s="46" t="str">
        <f t="shared" si="3"/>
        <v>MÉDIA</v>
      </c>
    </row>
    <row r="12" spans="1:15" ht="122.25" customHeight="1" x14ac:dyDescent="0.25">
      <c r="A12" s="41" t="s">
        <v>65</v>
      </c>
      <c r="B12" s="42"/>
      <c r="C12" s="43" t="s">
        <v>38</v>
      </c>
      <c r="D12" s="44">
        <v>5</v>
      </c>
      <c r="E12" s="44">
        <v>3</v>
      </c>
      <c r="F12" s="44">
        <v>3</v>
      </c>
      <c r="G12" s="44">
        <v>3</v>
      </c>
      <c r="H12" s="44">
        <v>3</v>
      </c>
      <c r="I12" s="44">
        <v>3</v>
      </c>
      <c r="J12" s="45">
        <f t="shared" si="0"/>
        <v>95.5</v>
      </c>
      <c r="K12" s="46" t="str">
        <f t="shared" si="1"/>
        <v>MÉDIA</v>
      </c>
      <c r="L12" s="63" t="s">
        <v>66</v>
      </c>
      <c r="M12" s="47">
        <v>50</v>
      </c>
      <c r="N12" s="48">
        <f t="shared" si="2"/>
        <v>47.75</v>
      </c>
      <c r="O12" s="46" t="str">
        <f t="shared" si="3"/>
        <v>BAIXA</v>
      </c>
    </row>
    <row r="13" spans="1:15" ht="147.75" customHeight="1" x14ac:dyDescent="0.25">
      <c r="A13" s="41" t="s">
        <v>67</v>
      </c>
      <c r="B13" s="42"/>
      <c r="C13" s="43" t="s">
        <v>38</v>
      </c>
      <c r="D13" s="44">
        <v>5</v>
      </c>
      <c r="E13" s="44">
        <v>3</v>
      </c>
      <c r="F13" s="44">
        <v>3</v>
      </c>
      <c r="G13" s="44">
        <v>3</v>
      </c>
      <c r="H13" s="44">
        <v>3</v>
      </c>
      <c r="I13" s="44">
        <v>3</v>
      </c>
      <c r="J13" s="45">
        <f t="shared" si="0"/>
        <v>95.5</v>
      </c>
      <c r="K13" s="46" t="str">
        <f>IF($J13&lt;=33.17,"NULA",(IF($J13&lt;=66.35,"BAIXA",(IF($J13&lt;=99.52,"MÉDIA",(IF($J13&lt;=132.7,"ALTA","")))))))</f>
        <v>MÉDIA</v>
      </c>
      <c r="L13" s="63" t="s">
        <v>68</v>
      </c>
      <c r="M13" s="47">
        <v>50</v>
      </c>
      <c r="N13" s="48">
        <f t="shared" si="2"/>
        <v>47.75</v>
      </c>
      <c r="O13" s="46" t="str">
        <f t="shared" si="3"/>
        <v>BAIXA</v>
      </c>
    </row>
    <row r="14" spans="1:15" ht="125.25" customHeight="1" x14ac:dyDescent="0.25">
      <c r="A14" s="41" t="s">
        <v>69</v>
      </c>
      <c r="B14" s="42"/>
      <c r="C14" s="43" t="s">
        <v>38</v>
      </c>
      <c r="D14" s="44">
        <v>5</v>
      </c>
      <c r="E14" s="44">
        <v>3</v>
      </c>
      <c r="F14" s="44">
        <v>3</v>
      </c>
      <c r="G14" s="44">
        <v>1</v>
      </c>
      <c r="H14" s="44">
        <v>3</v>
      </c>
      <c r="I14" s="44">
        <v>3</v>
      </c>
      <c r="J14" s="45">
        <f t="shared" si="0"/>
        <v>86.100000000000009</v>
      </c>
      <c r="K14" s="46" t="str">
        <f t="shared" si="1"/>
        <v>MÉDIA</v>
      </c>
      <c r="L14" s="63" t="s">
        <v>70</v>
      </c>
      <c r="M14" s="47">
        <v>50</v>
      </c>
      <c r="N14" s="48">
        <f t="shared" si="2"/>
        <v>43.050000000000011</v>
      </c>
      <c r="O14" s="46" t="str">
        <f t="shared" si="3"/>
        <v>BAIXA</v>
      </c>
    </row>
    <row r="15" spans="1:15" ht="76.5" customHeight="1" x14ac:dyDescent="0.25">
      <c r="A15" s="41" t="s">
        <v>45</v>
      </c>
      <c r="B15" s="42"/>
      <c r="C15" s="43" t="s">
        <v>40</v>
      </c>
      <c r="D15" s="44">
        <v>5</v>
      </c>
      <c r="E15" s="44">
        <v>3</v>
      </c>
      <c r="F15" s="44">
        <v>3</v>
      </c>
      <c r="G15" s="44">
        <v>5</v>
      </c>
      <c r="H15" s="44">
        <v>5</v>
      </c>
      <c r="I15" s="44">
        <v>5</v>
      </c>
      <c r="J15" s="45">
        <f t="shared" si="0"/>
        <v>123.1</v>
      </c>
      <c r="K15" s="46" t="str">
        <f t="shared" si="1"/>
        <v>ALTA</v>
      </c>
      <c r="L15" s="63" t="s">
        <v>52</v>
      </c>
      <c r="M15" s="47">
        <v>0</v>
      </c>
      <c r="N15" s="48" t="s">
        <v>40</v>
      </c>
      <c r="O15" s="46"/>
    </row>
    <row r="16" spans="1:15" ht="112.5" customHeight="1" thickBot="1" x14ac:dyDescent="0.3">
      <c r="A16" s="41" t="s">
        <v>53</v>
      </c>
      <c r="B16" s="42"/>
      <c r="C16" s="43" t="s">
        <v>40</v>
      </c>
      <c r="D16" s="44">
        <v>5</v>
      </c>
      <c r="E16" s="44">
        <v>3</v>
      </c>
      <c r="F16" s="44">
        <v>5</v>
      </c>
      <c r="G16" s="44">
        <v>5</v>
      </c>
      <c r="H16" s="44">
        <v>5</v>
      </c>
      <c r="I16" s="44">
        <v>5</v>
      </c>
      <c r="J16" s="45">
        <f t="shared" si="0"/>
        <v>132.69999999999999</v>
      </c>
      <c r="K16" s="46" t="str">
        <f t="shared" si="1"/>
        <v>ALTA</v>
      </c>
      <c r="L16" s="63" t="s">
        <v>54</v>
      </c>
      <c r="M16" s="47">
        <v>0</v>
      </c>
      <c r="N16" s="48" t="str">
        <f t="shared" si="2"/>
        <v>POSITIVO</v>
      </c>
      <c r="O16" s="46" t="str">
        <f t="shared" si="3"/>
        <v/>
      </c>
    </row>
    <row r="17" spans="1:15" ht="65.25" hidden="1" customHeight="1" x14ac:dyDescent="0.25">
      <c r="A17" s="41"/>
      <c r="B17" s="42"/>
      <c r="C17" s="43"/>
      <c r="D17" s="44"/>
      <c r="E17" s="44"/>
      <c r="F17" s="44"/>
      <c r="G17" s="44"/>
      <c r="H17" s="44"/>
      <c r="I17" s="44"/>
      <c r="J17" s="45"/>
      <c r="K17" s="46"/>
      <c r="L17" s="60"/>
      <c r="M17" s="47"/>
      <c r="N17" s="48"/>
      <c r="O17" s="46"/>
    </row>
    <row r="18" spans="1:15" ht="44.25" hidden="1" customHeight="1" x14ac:dyDescent="0.25">
      <c r="A18" s="33"/>
      <c r="B18" s="34"/>
      <c r="C18" s="35"/>
      <c r="D18" s="36"/>
      <c r="E18" s="36"/>
      <c r="F18" s="36"/>
      <c r="G18" s="36"/>
      <c r="H18" s="36"/>
      <c r="I18" s="36"/>
      <c r="J18" s="45"/>
      <c r="K18" s="38"/>
      <c r="L18" s="59"/>
      <c r="M18" s="39"/>
      <c r="N18" s="40"/>
      <c r="O18" s="38"/>
    </row>
    <row r="19" spans="1:15" ht="86.25" hidden="1" customHeight="1" x14ac:dyDescent="0.25">
      <c r="A19" s="41"/>
      <c r="B19" s="42"/>
      <c r="C19" s="43"/>
      <c r="D19" s="44"/>
      <c r="E19" s="44"/>
      <c r="F19" s="44"/>
      <c r="G19" s="44"/>
      <c r="H19" s="44"/>
      <c r="I19" s="44"/>
      <c r="J19" s="45"/>
      <c r="K19" s="43"/>
      <c r="L19" s="60"/>
      <c r="M19" s="47"/>
      <c r="N19" s="49"/>
      <c r="O19" s="43"/>
    </row>
    <row r="20" spans="1:15" s="26" customFormat="1" ht="271.5" hidden="1" customHeight="1" x14ac:dyDescent="0.25">
      <c r="A20" s="50"/>
      <c r="B20" s="51"/>
      <c r="C20" s="52"/>
      <c r="D20" s="53"/>
      <c r="E20" s="53"/>
      <c r="F20" s="53"/>
      <c r="G20" s="53"/>
      <c r="H20" s="53"/>
      <c r="I20" s="53"/>
      <c r="J20" s="45"/>
      <c r="K20" s="54"/>
      <c r="L20" s="61"/>
      <c r="M20" s="55"/>
      <c r="N20" s="56"/>
      <c r="O20" s="54"/>
    </row>
    <row r="21" spans="1:15" ht="95.25" hidden="1" customHeight="1" x14ac:dyDescent="0.25">
      <c r="A21" s="41"/>
      <c r="B21" s="42"/>
      <c r="C21" s="43"/>
      <c r="D21" s="44"/>
      <c r="E21" s="44"/>
      <c r="F21" s="44"/>
      <c r="G21" s="44"/>
      <c r="H21" s="44"/>
      <c r="I21" s="44"/>
      <c r="J21" s="45"/>
      <c r="K21" s="46"/>
      <c r="L21" s="60"/>
      <c r="M21" s="47"/>
      <c r="N21" s="48"/>
      <c r="O21" s="46"/>
    </row>
    <row r="22" spans="1:15" ht="102.75" hidden="1" customHeight="1" x14ac:dyDescent="0.25">
      <c r="A22" s="33"/>
      <c r="B22" s="34"/>
      <c r="C22" s="35"/>
      <c r="D22" s="36"/>
      <c r="E22" s="36"/>
      <c r="F22" s="36"/>
      <c r="G22" s="36"/>
      <c r="H22" s="36"/>
      <c r="I22" s="36"/>
      <c r="J22" s="45"/>
      <c r="K22" s="35"/>
      <c r="L22" s="62"/>
      <c r="M22" s="39"/>
      <c r="N22" s="57"/>
      <c r="O22" s="35"/>
    </row>
    <row r="23" spans="1:15" ht="30" hidden="1" customHeight="1" x14ac:dyDescent="0.25">
      <c r="A23" s="41"/>
      <c r="B23" s="42"/>
      <c r="C23" s="43"/>
      <c r="D23" s="44"/>
      <c r="E23" s="44"/>
      <c r="F23" s="44"/>
      <c r="G23" s="44"/>
      <c r="H23" s="44"/>
      <c r="I23" s="44"/>
      <c r="J23" s="45" t="str">
        <f t="shared" ref="J23:J32" si="4">IF($D23&lt;&gt;0,($D23*5+$E23*4.9+$F23*4.8+$G23*4.7+$H23*4.6+$I23*4.5),"")</f>
        <v/>
      </c>
      <c r="K23" s="46" t="str">
        <f t="shared" ref="K23:K32" si="5">IF($J23&lt;=33.17,"NULA",(IF($J23&lt;=66.35,"BAIXA",(IF($J23&lt;=99.52,"MÉDIA",(IF($J23&lt;=132.7,"ALTA","")))))))</f>
        <v/>
      </c>
      <c r="L23" s="43"/>
      <c r="M23" s="47"/>
      <c r="N23" s="48" t="str">
        <f t="shared" ref="N23:N32" si="6">IF($C23="NEGATIVO",(IF($D23&lt;&gt;0,($J23-($M23*$J23/100)),"")),(IF($C23="POSITIVO","POSITIVO","")))</f>
        <v/>
      </c>
      <c r="O23" s="46" t="str">
        <f t="shared" ref="O23:O32" si="7">IF($N23&lt;=33.17,"NULA",(IF($N23&lt;=66.35,"BAIXA",(IF($N23&lt;=99.52,"MÉDIA",(IF($N23&lt;=132.7,"ALTA","")))))))</f>
        <v/>
      </c>
    </row>
    <row r="24" spans="1:15" ht="30" hidden="1" customHeight="1" x14ac:dyDescent="0.25">
      <c r="A24" s="33"/>
      <c r="B24" s="34"/>
      <c r="C24" s="35"/>
      <c r="D24" s="36"/>
      <c r="E24" s="36"/>
      <c r="F24" s="36"/>
      <c r="G24" s="36"/>
      <c r="H24" s="36"/>
      <c r="I24" s="36"/>
      <c r="J24" s="37" t="str">
        <f t="shared" si="4"/>
        <v/>
      </c>
      <c r="K24" s="38" t="str">
        <f t="shared" si="5"/>
        <v/>
      </c>
      <c r="L24" s="35"/>
      <c r="M24" s="39"/>
      <c r="N24" s="40" t="str">
        <f t="shared" si="6"/>
        <v/>
      </c>
      <c r="O24" s="38" t="str">
        <f t="shared" si="7"/>
        <v/>
      </c>
    </row>
    <row r="25" spans="1:15" ht="30" hidden="1" customHeight="1" x14ac:dyDescent="0.25">
      <c r="A25" s="41"/>
      <c r="B25" s="42"/>
      <c r="C25" s="43"/>
      <c r="D25" s="44"/>
      <c r="E25" s="44"/>
      <c r="F25" s="44"/>
      <c r="G25" s="44"/>
      <c r="H25" s="44"/>
      <c r="I25" s="44"/>
      <c r="J25" s="45" t="str">
        <f t="shared" si="4"/>
        <v/>
      </c>
      <c r="K25" s="46" t="str">
        <f t="shared" si="5"/>
        <v/>
      </c>
      <c r="L25" s="43"/>
      <c r="M25" s="47"/>
      <c r="N25" s="48" t="str">
        <f t="shared" si="6"/>
        <v/>
      </c>
      <c r="O25" s="46" t="str">
        <f t="shared" si="7"/>
        <v/>
      </c>
    </row>
    <row r="26" spans="1:15" ht="30" hidden="1" customHeight="1" x14ac:dyDescent="0.25">
      <c r="A26" s="33"/>
      <c r="B26" s="34"/>
      <c r="C26" s="35"/>
      <c r="D26" s="36"/>
      <c r="E26" s="36"/>
      <c r="F26" s="36"/>
      <c r="G26" s="36"/>
      <c r="H26" s="36"/>
      <c r="I26" s="36"/>
      <c r="J26" s="37" t="str">
        <f t="shared" si="4"/>
        <v/>
      </c>
      <c r="K26" s="38" t="str">
        <f t="shared" si="5"/>
        <v/>
      </c>
      <c r="L26" s="35"/>
      <c r="M26" s="39"/>
      <c r="N26" s="40" t="str">
        <f t="shared" si="6"/>
        <v/>
      </c>
      <c r="O26" s="38" t="str">
        <f t="shared" si="7"/>
        <v/>
      </c>
    </row>
    <row r="27" spans="1:15" ht="30" hidden="1" customHeight="1" x14ac:dyDescent="0.25">
      <c r="A27" s="41"/>
      <c r="B27" s="42"/>
      <c r="C27" s="43"/>
      <c r="D27" s="44"/>
      <c r="E27" s="44"/>
      <c r="F27" s="44"/>
      <c r="G27" s="44"/>
      <c r="H27" s="58"/>
      <c r="I27" s="58"/>
      <c r="J27" s="45" t="str">
        <f t="shared" si="4"/>
        <v/>
      </c>
      <c r="K27" s="46" t="str">
        <f t="shared" si="5"/>
        <v/>
      </c>
      <c r="L27" s="43"/>
      <c r="M27" s="47"/>
      <c r="N27" s="48" t="str">
        <f t="shared" si="6"/>
        <v/>
      </c>
      <c r="O27" s="46" t="str">
        <f t="shared" si="7"/>
        <v/>
      </c>
    </row>
    <row r="28" spans="1:15" ht="30" hidden="1" customHeight="1" x14ac:dyDescent="0.25">
      <c r="A28" s="33"/>
      <c r="B28" s="34"/>
      <c r="C28" s="35"/>
      <c r="D28" s="36"/>
      <c r="E28" s="36"/>
      <c r="F28" s="36"/>
      <c r="G28" s="36"/>
      <c r="H28" s="36"/>
      <c r="I28" s="36"/>
      <c r="J28" s="37" t="str">
        <f t="shared" si="4"/>
        <v/>
      </c>
      <c r="K28" s="38" t="str">
        <f t="shared" si="5"/>
        <v/>
      </c>
      <c r="L28" s="35"/>
      <c r="M28" s="39"/>
      <c r="N28" s="40" t="str">
        <f t="shared" si="6"/>
        <v/>
      </c>
      <c r="O28" s="38" t="str">
        <f t="shared" si="7"/>
        <v/>
      </c>
    </row>
    <row r="29" spans="1:15" ht="30" hidden="1" customHeight="1" x14ac:dyDescent="0.25">
      <c r="A29" s="41"/>
      <c r="B29" s="42"/>
      <c r="C29" s="43"/>
      <c r="D29" s="44"/>
      <c r="E29" s="44"/>
      <c r="F29" s="44"/>
      <c r="G29" s="44"/>
      <c r="H29" s="44"/>
      <c r="I29" s="44"/>
      <c r="J29" s="45" t="str">
        <f t="shared" si="4"/>
        <v/>
      </c>
      <c r="K29" s="46" t="str">
        <f t="shared" si="5"/>
        <v/>
      </c>
      <c r="L29" s="43"/>
      <c r="M29" s="47"/>
      <c r="N29" s="48" t="str">
        <f t="shared" si="6"/>
        <v/>
      </c>
      <c r="O29" s="46" t="str">
        <f t="shared" si="7"/>
        <v/>
      </c>
    </row>
    <row r="30" spans="1:15" ht="30" hidden="1" customHeight="1" x14ac:dyDescent="0.25">
      <c r="A30" s="33"/>
      <c r="B30" s="34"/>
      <c r="C30" s="35"/>
      <c r="D30" s="36"/>
      <c r="E30" s="36"/>
      <c r="F30" s="36"/>
      <c r="G30" s="36"/>
      <c r="H30" s="36"/>
      <c r="I30" s="36"/>
      <c r="J30" s="37" t="str">
        <f t="shared" si="4"/>
        <v/>
      </c>
      <c r="K30" s="38" t="str">
        <f t="shared" si="5"/>
        <v/>
      </c>
      <c r="L30" s="35"/>
      <c r="M30" s="39"/>
      <c r="N30" s="40" t="str">
        <f t="shared" si="6"/>
        <v/>
      </c>
      <c r="O30" s="38" t="str">
        <f t="shared" si="7"/>
        <v/>
      </c>
    </row>
    <row r="31" spans="1:15" ht="30" hidden="1" customHeight="1" x14ac:dyDescent="0.25">
      <c r="A31" s="41"/>
      <c r="B31" s="42"/>
      <c r="C31" s="43"/>
      <c r="D31" s="44"/>
      <c r="E31" s="44"/>
      <c r="F31" s="44"/>
      <c r="G31" s="44"/>
      <c r="H31" s="44"/>
      <c r="I31" s="44"/>
      <c r="J31" s="45" t="str">
        <f t="shared" si="4"/>
        <v/>
      </c>
      <c r="K31" s="46" t="str">
        <f t="shared" si="5"/>
        <v/>
      </c>
      <c r="L31" s="43"/>
      <c r="M31" s="47"/>
      <c r="N31" s="48" t="str">
        <f t="shared" si="6"/>
        <v/>
      </c>
      <c r="O31" s="46" t="str">
        <f t="shared" si="7"/>
        <v/>
      </c>
    </row>
    <row r="32" spans="1:15" ht="15.75" hidden="1" thickBot="1" x14ac:dyDescent="0.3">
      <c r="A32" s="41"/>
      <c r="B32" s="42"/>
      <c r="C32" s="43"/>
      <c r="D32" s="44"/>
      <c r="E32" s="44"/>
      <c r="F32" s="44"/>
      <c r="G32" s="44"/>
      <c r="H32" s="44"/>
      <c r="I32" s="44"/>
      <c r="J32" s="45" t="str">
        <f t="shared" si="4"/>
        <v/>
      </c>
      <c r="K32" s="46" t="str">
        <f t="shared" si="5"/>
        <v/>
      </c>
      <c r="L32" s="43"/>
      <c r="M32" s="47"/>
      <c r="N32" s="48" t="str">
        <f t="shared" si="6"/>
        <v/>
      </c>
      <c r="O32" s="46" t="str">
        <f t="shared" si="7"/>
        <v/>
      </c>
    </row>
    <row r="33" spans="1:15" ht="21.75" thickTop="1" x14ac:dyDescent="0.25">
      <c r="A33" s="23" t="s">
        <v>12</v>
      </c>
      <c r="B33" s="24"/>
      <c r="C33" s="18"/>
      <c r="D33" s="18"/>
      <c r="E33" s="18"/>
      <c r="F33" s="18"/>
      <c r="G33" s="18"/>
      <c r="H33" s="18"/>
      <c r="I33" s="18"/>
      <c r="J33" s="18">
        <f>SUBTOTAL(101,J2:J32)</f>
        <v>92.433333333333323</v>
      </c>
      <c r="K33" s="18"/>
      <c r="L33" s="18"/>
      <c r="M33" s="22"/>
      <c r="N33" s="18">
        <f>SUBTOTAL(101,N2:N32)</f>
        <v>58.79666666666666</v>
      </c>
      <c r="O33" s="18">
        <f>IF(N33&lt;=33.17,1,(IF(N33&lt;=66.35,2,(IF(N33&lt;=99.52,3,(IF(N33&lt;=132.7,4,"")))))))</f>
        <v>2</v>
      </c>
    </row>
  </sheetData>
  <sheetProtection insertRows="0" deleteRows="0"/>
  <conditionalFormatting sqref="K23:L32 K22 K17:L21 K2:K16 O2:O32">
    <cfRule type="cellIs" dxfId="23" priority="23" operator="equal">
      <formula>"ALTA"</formula>
    </cfRule>
    <cfRule type="cellIs" dxfId="22" priority="24" operator="equal">
      <formula>"MÉDIA"</formula>
    </cfRule>
    <cfRule type="cellIs" dxfId="21" priority="25" operator="equal">
      <formula>"BAIXA"</formula>
    </cfRule>
    <cfRule type="cellIs" dxfId="20" priority="26" operator="equal">
      <formula>"NULA"</formula>
    </cfRule>
  </conditionalFormatting>
  <conditionalFormatting sqref="C2:C32">
    <cfRule type="cellIs" dxfId="19" priority="17" operator="equal">
      <formula>"POSITIVO"</formula>
    </cfRule>
    <cfRule type="cellIs" dxfId="18" priority="18" operator="equal">
      <formula>"NEGATIVO"</formula>
    </cfRule>
  </conditionalFormatting>
  <conditionalFormatting sqref="N2:N32">
    <cfRule type="cellIs" dxfId="17" priority="16" operator="equal">
      <formula>"POSITIVO"</formula>
    </cfRule>
  </conditionalFormatting>
  <conditionalFormatting sqref="L5:L15">
    <cfRule type="cellIs" dxfId="16" priority="8" operator="equal">
      <formula>"ALTA"</formula>
    </cfRule>
    <cfRule type="cellIs" dxfId="15" priority="9" operator="equal">
      <formula>"MÉDIA"</formula>
    </cfRule>
    <cfRule type="cellIs" dxfId="14" priority="10" operator="equal">
      <formula>"BAIXA"</formula>
    </cfRule>
    <cfRule type="cellIs" dxfId="13" priority="11" operator="equal">
      <formula>"NULA"</formula>
    </cfRule>
  </conditionalFormatting>
  <conditionalFormatting sqref="L4">
    <cfRule type="cellIs" dxfId="12" priority="1" operator="equal">
      <formula>"ALTA"</formula>
    </cfRule>
    <cfRule type="cellIs" dxfId="11" priority="2" operator="equal">
      <formula>"MÉDIA"</formula>
    </cfRule>
    <cfRule type="cellIs" dxfId="10" priority="3" operator="equal">
      <formula>"BAIXA"</formula>
    </cfRule>
    <cfRule type="cellIs" dxfId="9" priority="4" operator="equal">
      <formula>"NULA"</formula>
    </cfRule>
  </conditionalFormatting>
  <dataValidations count="5">
    <dataValidation type="list" operator="equal" allowBlank="1" showInputMessage="1" showErrorMessage="1" sqref="D2:D32">
      <formula1>"1,5"</formula1>
    </dataValidation>
    <dataValidation type="list" allowBlank="1" showInputMessage="1" showErrorMessage="1" sqref="E2:E32">
      <formula1>"1,3"</formula1>
    </dataValidation>
    <dataValidation type="list" allowBlank="1" showInputMessage="1" showErrorMessage="1" sqref="F2:I32">
      <formula1>"1,3,5"</formula1>
    </dataValidation>
    <dataValidation type="list" allowBlank="1" showInputMessage="1" showErrorMessage="1" sqref="M2:M32">
      <formula1>"0,10,30,50,80"</formula1>
    </dataValidation>
    <dataValidation type="list" allowBlank="1" showInputMessage="1" showErrorMessage="1" sqref="C2:C32">
      <formula1>"POSITIVO,NEGATIVO"</formula1>
    </dataValidation>
  </dataValidations>
  <pageMargins left="0.25" right="0.25" top="0.75" bottom="0.75" header="0.3" footer="0.3"/>
  <pageSetup paperSize="9" scale="25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8:D41"/>
  <sheetViews>
    <sheetView topLeftCell="A13" workbookViewId="0">
      <selection activeCell="C27" sqref="C27"/>
    </sheetView>
  </sheetViews>
  <sheetFormatPr defaultRowHeight="15" x14ac:dyDescent="0.25"/>
  <cols>
    <col min="1" max="1" width="62" style="3" customWidth="1"/>
    <col min="2" max="2" width="5.140625" style="2" bestFit="1" customWidth="1"/>
    <col min="3" max="3" width="18" style="4" bestFit="1" customWidth="1"/>
    <col min="4" max="4" width="37.140625" style="5" customWidth="1"/>
    <col min="5" max="16384" width="9.140625" style="4"/>
  </cols>
  <sheetData>
    <row r="18" spans="1:4" x14ac:dyDescent="0.25">
      <c r="A18" s="69" t="s">
        <v>14</v>
      </c>
      <c r="B18" s="70"/>
      <c r="C18" s="11">
        <v>2</v>
      </c>
      <c r="D18" s="7" t="str">
        <f>IF(C18=1,"ZACI | ZAN",(IF(C18=2,"ZACC | ZACS | ZACER | ZEE | ZAV | ZEI | ZEIS | outros",(IF(C18=3,"ZOR | AEIPH | AEITUR","")))))</f>
        <v>ZACC | ZACS | ZACER | ZEE | ZAV | ZEI | ZEIS | outros</v>
      </c>
    </row>
    <row r="19" spans="1:4" x14ac:dyDescent="0.25">
      <c r="A19" s="69" t="s">
        <v>15</v>
      </c>
      <c r="B19" s="70"/>
      <c r="C19" s="12">
        <v>9719.0400000000009</v>
      </c>
    </row>
    <row r="20" spans="1:4" x14ac:dyDescent="0.25">
      <c r="A20" s="69" t="s">
        <v>16</v>
      </c>
      <c r="B20" s="70"/>
      <c r="C20" s="13">
        <v>1917.81</v>
      </c>
    </row>
    <row r="21" spans="1:4" x14ac:dyDescent="0.25">
      <c r="A21" s="69" t="s">
        <v>17</v>
      </c>
      <c r="B21" s="70"/>
      <c r="C21" s="14">
        <f>C19*C20</f>
        <v>18639272.102400001</v>
      </c>
    </row>
    <row r="22" spans="1:4" x14ac:dyDescent="0.25">
      <c r="C22" s="6"/>
    </row>
    <row r="24" spans="1:4" x14ac:dyDescent="0.25">
      <c r="A24" s="10" t="s">
        <v>28</v>
      </c>
      <c r="B24" s="9" t="s">
        <v>18</v>
      </c>
      <c r="C24" s="15">
        <f>'MATRIZ IMPACTOS'!O33</f>
        <v>2</v>
      </c>
      <c r="D24" s="7" t="str">
        <f>IF(C24=1,"NULO",(IF(C24=2,"BAIXA",(IF(C24=3,"MÉDIA",(IF(C24=4,"ALTA","")))))))</f>
        <v>BAIXA</v>
      </c>
    </row>
    <row r="25" spans="1:4" ht="33.75" customHeight="1" x14ac:dyDescent="0.25">
      <c r="A25" s="10" t="s">
        <v>29</v>
      </c>
      <c r="B25" s="9" t="s">
        <v>19</v>
      </c>
      <c r="C25" s="11">
        <v>0</v>
      </c>
      <c r="D25" s="7" t="str">
        <f>IF(C25=0,"Causa pequeno impacto nos recursos naturais",(IF(C25=1,"Impacta os recursos naturais, mas o empreendimento é demanda reprimida no município",(IF(C25=2,"Impacta os recursos naturais e o empreendimentos não é demanda reprimida no município",(IF(C25=3,"Impacta os recursos naturais, o empreendimento não é demanda reprimida no município e irá se localizar em área com biodiversidade pouco comprometida","")))))))</f>
        <v>Causa pequeno impacto nos recursos naturais</v>
      </c>
    </row>
    <row r="26" spans="1:4" ht="33.75" customHeight="1" x14ac:dyDescent="0.25">
      <c r="A26" s="10" t="s">
        <v>30</v>
      </c>
      <c r="B26" s="9" t="s">
        <v>20</v>
      </c>
      <c r="C26" s="11">
        <v>2</v>
      </c>
      <c r="D26" s="7" t="str">
        <f>IF(C26=1,"Impactos limitados a um raio de 0 a 1 km",(IF(C26=2,"Impactos limitados a um raio de 1 a 3 km",(IF(C26=3,"Impactos limitados a um raio de 3 a 5 km",(IF(C26=4,"Impactos que ultrapassam um raio de 5 km","")))))))</f>
        <v>Impactos limitados a um raio de 1 a 3 km</v>
      </c>
    </row>
    <row r="27" spans="1:4" ht="33.75" customHeight="1" x14ac:dyDescent="0.25">
      <c r="A27" s="10" t="s">
        <v>31</v>
      </c>
      <c r="B27" s="9" t="s">
        <v>21</v>
      </c>
      <c r="C27" s="11">
        <v>1</v>
      </c>
      <c r="D27" s="7" t="str">
        <f>IF(C27=1,"Imediata | de 0 a 1 ano após a instalação do empreendimento",(IF(C27=2,"Curta | superior a 1 e até 3 anos após a instalação do empreendimento",(IF(C27=3,"Média | superior a 3 e até 5 anos após a instalação do empreendimento",(IF(C27=4,"Longa | superior a 5 anos após a instalação do empreendimento","")))))))</f>
        <v>Imediata | de 0 a 1 ano após a instalação do empreendimento</v>
      </c>
    </row>
    <row r="28" spans="1:4" ht="33.75" customHeight="1" x14ac:dyDescent="0.25">
      <c r="A28" s="10" t="s">
        <v>32</v>
      </c>
      <c r="B28" s="9" t="s">
        <v>22</v>
      </c>
      <c r="C28" s="11">
        <v>1</v>
      </c>
      <c r="D28" s="7" t="str">
        <f>IF(C28=0,"Infraestrutura da vizinhança não está comprometida e empreendimento ou mitigações contribuem com melhoras nestes serviços",(IF(C28=1,"Infraestrutura da vizinhança não está comprometida",(IF(C28=2,"Infraestrutura da vizinhança está comprometida , porém empreendimento ou mitigações contribuem com melhorias nestes serviços",(IF(C28=3,"Infraestrutura da vizinhança está comprometida e o empreendimento não possui medidas mitigadoras efetivas","")))))))</f>
        <v>Infraestrutura da vizinhança não está comprometida</v>
      </c>
    </row>
    <row r="29" spans="1:4" x14ac:dyDescent="0.25">
      <c r="C29" s="2"/>
    </row>
    <row r="31" spans="1:4" x14ac:dyDescent="0.25">
      <c r="A31" s="10" t="s">
        <v>33</v>
      </c>
      <c r="B31" s="9" t="s">
        <v>23</v>
      </c>
      <c r="C31" s="16">
        <f>C24*C25*(C26+C27)/320</f>
        <v>0</v>
      </c>
    </row>
    <row r="32" spans="1:4" x14ac:dyDescent="0.25">
      <c r="A32" s="10" t="s">
        <v>34</v>
      </c>
      <c r="B32" s="9" t="s">
        <v>24</v>
      </c>
      <c r="C32" s="16">
        <f>C24*C27*C28/160</f>
        <v>1.2500000000000001E-2</v>
      </c>
    </row>
    <row r="33" spans="1:3" x14ac:dyDescent="0.25">
      <c r="A33" s="10" t="s">
        <v>35</v>
      </c>
      <c r="B33" s="9" t="s">
        <v>25</v>
      </c>
      <c r="C33" s="16">
        <f>IF(C18=1,0.9,(IF(C18=2,0.7,(IF(C18=3,0.5,"")))))</f>
        <v>0.7</v>
      </c>
    </row>
    <row r="34" spans="1:3" x14ac:dyDescent="0.25">
      <c r="C34" s="2"/>
    </row>
    <row r="35" spans="1:3" x14ac:dyDescent="0.25">
      <c r="A35" s="10" t="s">
        <v>36</v>
      </c>
      <c r="B35" s="9" t="s">
        <v>26</v>
      </c>
      <c r="C35" s="16">
        <f>SUM(C31:C33)</f>
        <v>0.71249999999999991</v>
      </c>
    </row>
    <row r="37" spans="1:3" x14ac:dyDescent="0.25">
      <c r="A37" s="10" t="s">
        <v>43</v>
      </c>
      <c r="B37" s="9" t="s">
        <v>27</v>
      </c>
      <c r="C37" s="8">
        <f>C21*C35/100</f>
        <v>132804.81372959999</v>
      </c>
    </row>
    <row r="38" spans="1:3" x14ac:dyDescent="0.25">
      <c r="A38" s="3" t="s">
        <v>42</v>
      </c>
      <c r="B38" s="2" t="s">
        <v>27</v>
      </c>
      <c r="C38" s="4">
        <f>C37/C20</f>
        <v>69.248159999999999</v>
      </c>
    </row>
    <row r="39" spans="1:3" x14ac:dyDescent="0.25">
      <c r="C39" s="17"/>
    </row>
    <row r="41" spans="1:3" x14ac:dyDescent="0.25">
      <c r="C41" s="6"/>
    </row>
  </sheetData>
  <mergeCells count="4">
    <mergeCell ref="A18:B18"/>
    <mergeCell ref="A19:B19"/>
    <mergeCell ref="A20:B20"/>
    <mergeCell ref="A21:B21"/>
  </mergeCells>
  <dataValidations count="3">
    <dataValidation type="list" allowBlank="1" showInputMessage="1" showErrorMessage="1" sqref="C18">
      <formula1>"1,2,3"</formula1>
    </dataValidation>
    <dataValidation type="list" allowBlank="1" showInputMessage="1" showErrorMessage="1" sqref="C28:C29 C25">
      <formula1>"0,1,2,3"</formula1>
    </dataValidation>
    <dataValidation type="list" allowBlank="1" showInputMessage="1" showErrorMessage="1" sqref="C26:C27">
      <formula1>"1,2,3,4"</formula1>
    </dataValidation>
  </dataValidations>
  <pageMargins left="0.511811024" right="0.511811024" top="0.78740157499999996" bottom="0.78740157499999996" header="0.31496062000000002" footer="0.31496062000000002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MATRIZ IMPACTOS</vt:lpstr>
      <vt:lpstr>VALOR CONTRAPARTIDA</vt:lpstr>
      <vt:lpstr>'MATRIZ IMPACTOS'!Area_de_impressao</vt:lpstr>
      <vt:lpstr>'VALOR CONTRAPARTIDA'!Area_de_impressao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Miranda Becker</dc:creator>
  <cp:lastModifiedBy>User</cp:lastModifiedBy>
  <cp:lastPrinted>2019-11-18T13:25:38Z</cp:lastPrinted>
  <dcterms:created xsi:type="dcterms:W3CDTF">2018-05-04T18:47:20Z</dcterms:created>
  <dcterms:modified xsi:type="dcterms:W3CDTF">2019-11-18T13:25:57Z</dcterms:modified>
</cp:coreProperties>
</file>