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EstaPasta_de_trabalho" hidePivotFieldList="1"/>
  <mc:AlternateContent xmlns:mc="http://schemas.openxmlformats.org/markup-compatibility/2006">
    <mc:Choice Requires="x15">
      <x15ac:absPath xmlns:x15ac="http://schemas.microsoft.com/office/spreadsheetml/2010/11/ac" url="M:\CLIENTES\K2 TOWER\Santa Catarina\SCBCU37\02 - ESTUDOS\"/>
    </mc:Choice>
  </mc:AlternateContent>
  <xr:revisionPtr revIDLastSave="0" documentId="13_ncr:1_{E7FB8EDE-28D2-45FE-BEE5-2C8F80F649E5}" xr6:coauthVersionLast="45" xr6:coauthVersionMax="45" xr10:uidLastSave="{00000000-0000-0000-0000-000000000000}"/>
  <bookViews>
    <workbookView xWindow="-120" yWindow="-120" windowWidth="19440" windowHeight="10440" activeTab="1" xr2:uid="{00000000-000D-0000-FFFF-FFFF00000000}"/>
  </bookViews>
  <sheets>
    <sheet name="MATRIZ IMPACTOS" sheetId="1" r:id="rId1"/>
    <sheet name="VALOR CONTRAPARTIDA" sheetId="2" r:id="rId2"/>
  </sheets>
  <definedNames>
    <definedName name="_xlnm._FilterDatabase" localSheetId="0" hidden="1">'MATRIZ IMPACTOS'!$A$1:$P$24</definedName>
    <definedName name="_xlnm.Print_Area" localSheetId="0">'MATRIZ IMPACTOS'!$A$1:$U$29</definedName>
    <definedName name="_xlnm.Print_Area" localSheetId="1">'VALOR CONTRAPARTIDA'!$A$1:$D$38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8" i="2" l="1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J4" i="1" l="1"/>
  <c r="J5" i="1"/>
  <c r="J6" i="1"/>
  <c r="J7" i="1"/>
  <c r="J8" i="1"/>
  <c r="J9" i="1"/>
  <c r="J10" i="1"/>
  <c r="J11" i="1"/>
  <c r="J12" i="1"/>
  <c r="J13" i="1"/>
  <c r="J14" i="1"/>
  <c r="J15" i="1"/>
  <c r="J2" i="1"/>
  <c r="J3" i="1"/>
  <c r="O2" i="1" l="1"/>
  <c r="K2" i="1" s="1"/>
  <c r="J24" i="1"/>
  <c r="L24" i="1" s="1"/>
  <c r="O24" i="1"/>
  <c r="P24" i="1" s="1"/>
  <c r="O23" i="1"/>
  <c r="P23" i="1" s="1"/>
  <c r="J23" i="1"/>
  <c r="L23" i="1" s="1"/>
  <c r="J22" i="1"/>
  <c r="L22" i="1" s="1"/>
  <c r="O22" i="1"/>
  <c r="P22" i="1" s="1"/>
  <c r="O21" i="1"/>
  <c r="P21" i="1" s="1"/>
  <c r="J21" i="1"/>
  <c r="L21" i="1" s="1"/>
  <c r="J20" i="1"/>
  <c r="L20" i="1" s="1"/>
  <c r="O20" i="1"/>
  <c r="P20" i="1" s="1"/>
  <c r="O19" i="1"/>
  <c r="P19" i="1" s="1"/>
  <c r="J19" i="1"/>
  <c r="L19" i="1" s="1"/>
  <c r="O18" i="1"/>
  <c r="P18" i="1" s="1"/>
  <c r="J18" i="1"/>
  <c r="L18" i="1" s="1"/>
  <c r="J17" i="1"/>
  <c r="L17" i="1" s="1"/>
  <c r="O17" i="1"/>
  <c r="P17" i="1" s="1"/>
  <c r="O16" i="1"/>
  <c r="P16" i="1" s="1"/>
  <c r="J16" i="1"/>
  <c r="L16" i="1" s="1"/>
  <c r="L15" i="1"/>
  <c r="O15" i="1"/>
  <c r="P15" i="1" s="1"/>
  <c r="O14" i="1"/>
  <c r="P14" i="1" s="1"/>
  <c r="L14" i="1"/>
  <c r="O13" i="1"/>
  <c r="P13" i="1" s="1"/>
  <c r="O12" i="1"/>
  <c r="P12" i="1" s="1"/>
  <c r="O11" i="1"/>
  <c r="P11" i="1" s="1"/>
  <c r="L10" i="1"/>
  <c r="O9" i="1"/>
  <c r="P9" i="1" s="1"/>
  <c r="O8" i="1"/>
  <c r="P8" i="1" s="1"/>
  <c r="L8" i="1"/>
  <c r="O7" i="1"/>
  <c r="P7" i="1" s="1"/>
  <c r="O6" i="1"/>
  <c r="P6" i="1" s="1"/>
  <c r="L5" i="1"/>
  <c r="O5" i="1"/>
  <c r="P5" i="1" s="1"/>
  <c r="L4" i="1"/>
  <c r="O4" i="1"/>
  <c r="O3" i="1"/>
  <c r="D28" i="2"/>
  <c r="D27" i="2"/>
  <c r="D25" i="2"/>
  <c r="D18" i="2"/>
  <c r="C33" i="2"/>
  <c r="P4" i="1" l="1"/>
  <c r="K4" i="1"/>
  <c r="P3" i="1"/>
  <c r="K3" i="1"/>
  <c r="J25" i="1"/>
  <c r="O25" i="1"/>
  <c r="P25" i="1" s="1"/>
  <c r="C24" i="2" s="1"/>
  <c r="P2" i="1"/>
  <c r="L13" i="1"/>
  <c r="L12" i="1"/>
  <c r="L11" i="1"/>
  <c r="O10" i="1"/>
  <c r="P10" i="1" s="1"/>
  <c r="L9" i="1"/>
  <c r="L7" i="1"/>
  <c r="L6" i="1"/>
  <c r="L3" i="1"/>
  <c r="L2" i="1"/>
  <c r="K25" i="1" l="1"/>
  <c r="C30" i="1" s="1"/>
  <c r="C31" i="1" s="1"/>
  <c r="C26" i="2" s="1"/>
  <c r="D26" i="2" s="1"/>
  <c r="D24" i="2" l="1"/>
  <c r="C35" i="2" l="1"/>
  <c r="C3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Fabio Miranda Becker</author>
  </authors>
  <commentList>
    <comment ref="A1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Utilizar esta coluna para descrever o impacto</t>
        </r>
      </text>
    </comment>
    <comment ref="C1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se o impacto é "NEGATIVO" ou "POSITIVO"</t>
        </r>
      </text>
    </comment>
    <comment ref="D1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a Fase de Ocorrência</t>
        </r>
      </text>
    </comment>
    <comment ref="E1" authorId="0" shapeId="0" xr:uid="{00000000-0006-0000-0000-000004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a Expectativa de Ocorrência</t>
        </r>
      </text>
    </comment>
    <comment ref="F1" authorId="0" shapeId="0" xr:uid="{00000000-0006-0000-0000-000005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a Abrangência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a Importância</t>
        </r>
      </text>
    </comment>
    <comment ref="H1" authorId="0" shapeId="0" xr:uid="{00000000-0006-0000-0000-000007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a Reversibilidade</t>
        </r>
      </text>
    </comment>
    <comment ref="I1" authorId="0" shapeId="0" xr:uid="{00000000-0006-0000-0000-000008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o Prazo</t>
        </r>
      </text>
    </comment>
    <comment ref="J1" authorId="0" shapeId="0" xr:uid="{00000000-0006-0000-0000-000009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L1" authorId="0" shapeId="0" xr:uid="{00000000-0006-0000-0000-00000A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M1" authorId="0" shapeId="0" xr:uid="{00000000-0006-0000-0000-00000B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Utilizar esta coluna para indicar as Medidas Mitigadoras para o respectivo Impacto</t>
        </r>
      </text>
    </comment>
    <comment ref="N1" authorId="0" shapeId="0" xr:uid="{00000000-0006-0000-0000-00000C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o percentual de mitigação</t>
        </r>
      </text>
    </comment>
    <comment ref="O1" authorId="0" shapeId="0" xr:uid="{00000000-0006-0000-0000-00000D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P1" authorId="0" shapeId="0" xr:uid="{00000000-0006-0000-0000-00000E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J25" authorId="0" shapeId="0" xr:uid="{00000000-0006-0000-0000-00000F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O25" authorId="0" shapeId="0" xr:uid="{00000000-0006-0000-0000-000010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P25" authorId="0" shapeId="0" xr:uid="{00000000-0006-0000-0000-000011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C27" authorId="0" shapeId="0" xr:uid="{00000000-0006-0000-0000-000012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a distância máxima para a Área de Vizinhança Direta (AVD) e Área de Vizinhança Indireta (AVI), em quilômetros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Fabio Miranda Becker</author>
  </authors>
  <commentList>
    <comment ref="A18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qual em qual faixa de zona o empreendimento está localizado, conforme LCM 24/2018</t>
        </r>
      </text>
    </comment>
    <comment ref="D18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Descrição da Zona</t>
        </r>
      </text>
    </comment>
    <comment ref="A19" authorId="0" shapeId="0" xr:uid="{00000000-0006-0000-0100-000003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a área total do empreendimento</t>
        </r>
      </text>
    </comment>
    <comment ref="A20" authorId="0" shapeId="0" xr:uid="{00000000-0006-0000-0100-000004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o valor do CUB/SC residencial médio para o mês de elaboração do EIV</t>
        </r>
      </text>
    </comment>
    <comment ref="A21" authorId="0" shapeId="0" xr:uid="{00000000-0006-0000-0100-000005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A24" authorId="0" shapeId="0" xr:uid="{00000000-0006-0000-0100-000006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D24" authorId="0" shapeId="0" xr:uid="{00000000-0006-0000-0100-000007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Descrição do IM</t>
        </r>
      </text>
    </comment>
    <comment ref="A25" authorId="0" shapeId="0" xr:uid="{00000000-0006-0000-0100-000008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o valor do ISRN, conforme LCM 24/2018</t>
        </r>
      </text>
    </comment>
    <comment ref="D25" authorId="0" shapeId="0" xr:uid="{00000000-0006-0000-0100-000009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Descrição do ISRN</t>
        </r>
      </text>
    </comment>
    <comment ref="A26" authorId="0" shapeId="0" xr:uid="{00000000-0006-0000-0100-00000A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
Valor obtido através da mádia ponderada da abrangência de cada impacto em relação à sua magnitude</t>
        </r>
      </text>
    </comment>
    <comment ref="D26" authorId="0" shapeId="0" xr:uid="{00000000-0006-0000-0100-00000B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Descrição do IA</t>
        </r>
      </text>
    </comment>
    <comment ref="A27" authorId="0" shapeId="0" xr:uid="{00000000-0006-0000-0100-00000C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IT, conforme LCM 24/2018</t>
        </r>
      </text>
    </comment>
    <comment ref="D27" authorId="0" shapeId="0" xr:uid="{00000000-0006-0000-0100-00000D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Descrição do IT</t>
        </r>
      </text>
    </comment>
    <comment ref="A28" authorId="0" shapeId="0" xr:uid="{00000000-0006-0000-0100-00000E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Indicar ICIV, conforme LCM 24/2018:
Considerar a infraestrutura comprometida quando ao menos 2 itens estiverem comprometidos</t>
        </r>
      </text>
    </comment>
    <comment ref="D28" authorId="0" shapeId="0" xr:uid="{00000000-0006-0000-0100-00000F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Descrição do ICIV</t>
        </r>
      </text>
    </comment>
    <comment ref="A31" authorId="0" shapeId="0" xr:uid="{00000000-0006-0000-0100-000010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A32" authorId="0" shapeId="0" xr:uid="{00000000-0006-0000-0100-000011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A33" authorId="0" shapeId="0" xr:uid="{00000000-0006-0000-0100-000012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A35" authorId="0" shapeId="0" xr:uid="{00000000-0006-0000-0100-000013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A37" authorId="0" shapeId="0" xr:uid="{00000000-0006-0000-0100-000014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  <comment ref="A38" authorId="0" shapeId="0" xr:uid="{00000000-0006-0000-0100-000015000000}">
      <text>
        <r>
          <rPr>
            <b/>
            <sz val="9"/>
            <color indexed="81"/>
            <rFont val="Segoe UI"/>
            <family val="2"/>
          </rPr>
          <t>Fabio Miranda Becker:</t>
        </r>
        <r>
          <rPr>
            <sz val="9"/>
            <color indexed="81"/>
            <rFont val="Segoe UI"/>
            <family val="2"/>
          </rPr>
          <t xml:space="preserve">
Preenchimento automático: NÃO ALTERAR</t>
        </r>
      </text>
    </comment>
  </commentList>
</comments>
</file>

<file path=xl/sharedStrings.xml><?xml version="1.0" encoding="utf-8"?>
<sst xmlns="http://schemas.openxmlformats.org/spreadsheetml/2006/main" count="64" uniqueCount="56">
  <si>
    <t>IMPACTO</t>
  </si>
  <si>
    <t>DESCRIÇÃO</t>
  </si>
  <si>
    <t>FASE DE OCORRÊNCIA</t>
  </si>
  <si>
    <t>EXPECTATIVA DE OCORRÊNCIA</t>
  </si>
  <si>
    <t>ABRANGÊNCIA</t>
  </si>
  <si>
    <t>IMPORTÂNCIA</t>
  </si>
  <si>
    <t>REVERSIBILIDADE</t>
  </si>
  <si>
    <t>PRAZO</t>
  </si>
  <si>
    <t>VALORAÇÃO</t>
  </si>
  <si>
    <t>MAGNITUDE</t>
  </si>
  <si>
    <t>MITIGAÇÃO (%)</t>
  </si>
  <si>
    <t>MAGNITUDE FINAL</t>
  </si>
  <si>
    <t>ÍNDICE DE MAGNITUDE</t>
  </si>
  <si>
    <t>VAL + MIT</t>
  </si>
  <si>
    <t>ZONA DO EMPREENDIMENTO</t>
  </si>
  <si>
    <t>ÁREA EMPREENDIMENTO (m²)</t>
  </si>
  <si>
    <t>CUB-SC (R$)</t>
  </si>
  <si>
    <t>VALOR DE INVESTIMENTO (R$)</t>
  </si>
  <si>
    <t>IM</t>
  </si>
  <si>
    <t>ISRN</t>
  </si>
  <si>
    <t>IA</t>
  </si>
  <si>
    <t>IT</t>
  </si>
  <si>
    <t>ICIV</t>
  </si>
  <si>
    <t>ISSU</t>
  </si>
  <si>
    <t>CIV</t>
  </si>
  <si>
    <t>IEU</t>
  </si>
  <si>
    <t>GI</t>
  </si>
  <si>
    <t>VC</t>
  </si>
  <si>
    <t>ÍNDICE MAGNITUDE</t>
  </si>
  <si>
    <t>ÍNDICE SOBRE RECURSOS NATURAIS</t>
  </si>
  <si>
    <t>ÍNDICE ABRANGÊNCIA</t>
  </si>
  <si>
    <t>ÍNDICE TEMPORALIDADE</t>
  </si>
  <si>
    <t>ÍNDICE COMPROMETIMENTO DE INFRAESTRUTURA DA VIZINHANÇA</t>
  </si>
  <si>
    <t>IMPACTO SOBRE SUSTENTABILIDADE</t>
  </si>
  <si>
    <t>COMPROMETIMENTO DA INFRAESTRUTURA DA VIZINHANÇA</t>
  </si>
  <si>
    <t>INFLUÊNCIA NOS ECOSSISTEMAS URBANOS</t>
  </si>
  <si>
    <t>GRAU DE IMPACTO (%)</t>
  </si>
  <si>
    <t>NATUREZA DO IMPACTO</t>
  </si>
  <si>
    <t xml:space="preserve"> AÇÃO MITIGADORA / POTENCIALIZADORA</t>
  </si>
  <si>
    <t>VALOR DA CONTRAPARTIDA FINANCEIRA (CUB)</t>
  </si>
  <si>
    <t>VALOR DA CONTRAPARTIDA FINANCEIRA (R$)</t>
  </si>
  <si>
    <t>AVD</t>
  </si>
  <si>
    <t>AVI</t>
  </si>
  <si>
    <t>Colunas1</t>
  </si>
  <si>
    <t>DISTÂNCIA ABRANGÊNCIA</t>
  </si>
  <si>
    <t>DISTÂNCIA (km)</t>
  </si>
  <si>
    <t>PREFEITURA MUNICIPAL DE BALNEÁRIO CAMBORIÚ</t>
  </si>
  <si>
    <t>COMISSÃO PERMANENTE DE ANÁLISE DE EIV - CEIV</t>
  </si>
  <si>
    <t>Emissão de Ruído</t>
  </si>
  <si>
    <t>Geração de Radiação Eletromagnética</t>
  </si>
  <si>
    <t>Impacto Visual</t>
  </si>
  <si>
    <t>Valorização Imobiliária</t>
  </si>
  <si>
    <t>Ampliação da Cobertura Telefônica</t>
  </si>
  <si>
    <t>Geração de Empregos e Impostos</t>
  </si>
  <si>
    <t>NEGATIVO</t>
  </si>
  <si>
    <t>POSITIVO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</si>
</sst>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ck">
        <color theme="0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44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right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43" fontId="1" fillId="4" borderId="1" xfId="3" applyFont="1" applyFill="1" applyBorder="1" applyAlignment="1" applyProtection="1">
      <alignment horizontal="center" vertical="center"/>
      <protection locked="0"/>
    </xf>
    <xf numFmtId="44" fontId="1" fillId="4" borderId="1" xfId="1" applyFont="1" applyFill="1" applyBorder="1" applyAlignment="1" applyProtection="1">
      <alignment horizontal="center" vertical="center"/>
      <protection locked="0"/>
    </xf>
    <xf numFmtId="44" fontId="1" fillId="5" borderId="1" xfId="1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44" fontId="1" fillId="0" borderId="0" xfId="1" applyFont="1" applyAlignment="1">
      <alignment vertical="center"/>
    </xf>
    <xf numFmtId="0" fontId="5" fillId="6" borderId="4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textRotation="90" wrapText="1"/>
    </xf>
    <xf numFmtId="0" fontId="5" fillId="6" borderId="4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/>
    <xf numFmtId="0" fontId="0" fillId="0" borderId="7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1" fontId="6" fillId="0" borderId="4" xfId="2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0" fillId="7" borderId="8" xfId="0" applyFont="1" applyFill="1" applyBorder="1" applyAlignment="1">
      <alignment vertical="center" wrapText="1"/>
    </xf>
    <xf numFmtId="0" fontId="0" fillId="7" borderId="6" xfId="0" applyFont="1" applyFill="1" applyBorder="1" applyAlignment="1">
      <alignment vertical="center" wrapText="1"/>
    </xf>
    <xf numFmtId="0" fontId="0" fillId="7" borderId="6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vertical="center"/>
    </xf>
    <xf numFmtId="0" fontId="0" fillId="7" borderId="6" xfId="0" applyNumberFormat="1" applyFont="1" applyFill="1" applyBorder="1" applyAlignment="1">
      <alignment horizontal="center" vertical="center"/>
    </xf>
    <xf numFmtId="1" fontId="6" fillId="7" borderId="6" xfId="2" applyNumberFormat="1" applyFont="1" applyFill="1" applyBorder="1" applyAlignment="1">
      <alignment horizontal="center" vertical="center"/>
    </xf>
    <xf numFmtId="0" fontId="0" fillId="7" borderId="6" xfId="0" applyNumberFormat="1" applyFont="1" applyFill="1" applyBorder="1" applyAlignment="1">
      <alignment vertical="center"/>
    </xf>
    <xf numFmtId="0" fontId="0" fillId="8" borderId="8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vertical="center" wrapText="1"/>
    </xf>
    <xf numFmtId="0" fontId="0" fillId="8" borderId="6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vertical="center"/>
    </xf>
    <xf numFmtId="0" fontId="0" fillId="8" borderId="6" xfId="0" applyNumberFormat="1" applyFont="1" applyFill="1" applyBorder="1" applyAlignment="1">
      <alignment horizontal="center" vertical="center"/>
    </xf>
    <xf numFmtId="1" fontId="6" fillId="8" borderId="6" xfId="2" applyNumberFormat="1" applyFont="1" applyFill="1" applyBorder="1" applyAlignment="1">
      <alignment horizontal="center" vertical="center"/>
    </xf>
    <xf numFmtId="0" fontId="0" fillId="8" borderId="6" xfId="0" applyNumberFormat="1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0" fillId="0" borderId="6" xfId="0" applyNumberFormat="1" applyFont="1" applyFill="1" applyBorder="1" applyAlignment="1">
      <alignment horizontal="center" vertical="center"/>
    </xf>
    <xf numFmtId="1" fontId="6" fillId="0" borderId="6" xfId="2" applyNumberFormat="1" applyFont="1" applyFill="1" applyBorder="1" applyAlignment="1">
      <alignment horizontal="center" vertical="center"/>
    </xf>
    <xf numFmtId="0" fontId="0" fillId="0" borderId="6" xfId="0" applyNumberFormat="1" applyFont="1" applyFill="1" applyBorder="1" applyAlignment="1">
      <alignment vertical="center"/>
    </xf>
    <xf numFmtId="0" fontId="0" fillId="7" borderId="6" xfId="0" applyFont="1" applyFill="1" applyBorder="1" applyAlignment="1">
      <alignment vertical="center"/>
    </xf>
    <xf numFmtId="0" fontId="3" fillId="8" borderId="6" xfId="0" applyFont="1" applyFill="1" applyBorder="1" applyAlignment="1">
      <alignment vertical="center"/>
    </xf>
    <xf numFmtId="2" fontId="6" fillId="0" borderId="6" xfId="0" applyNumberFormat="1" applyFont="1" applyFill="1" applyBorder="1" applyAlignment="1">
      <alignment vertical="center"/>
    </xf>
    <xf numFmtId="0" fontId="5" fillId="6" borderId="9" xfId="0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2" fontId="0" fillId="0" borderId="0" xfId="0" applyNumberFormat="1"/>
    <xf numFmtId="0" fontId="2" fillId="9" borderId="0" xfId="0" applyFont="1" applyFill="1" applyAlignment="1">
      <alignment vertical="center"/>
    </xf>
    <xf numFmtId="44" fontId="6" fillId="5" borderId="1" xfId="1" applyFont="1" applyFill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right" vertical="center" wrapText="1"/>
    </xf>
    <xf numFmtId="2" fontId="5" fillId="6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3" borderId="3" xfId="0" applyFill="1" applyBorder="1" applyAlignment="1">
      <alignment horizontal="right" vertical="center" indent="1"/>
    </xf>
    <xf numFmtId="0" fontId="0" fillId="3" borderId="2" xfId="0" applyFill="1" applyBorder="1" applyAlignment="1">
      <alignment horizontal="right" vertical="center" indent="1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43"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numFmt numFmtId="2" formatCode="0.00"/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numFmt numFmtId="0" formatCode="General"/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numFmt numFmtId="2" formatCode="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numFmt numFmtId="2" formatCode="0.00"/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ck">
          <color theme="0"/>
        </top>
        <bottom/>
      </border>
    </dxf>
    <dxf>
      <alignment vertical="center" textRotation="0" indent="0" justifyLastLine="0" shrinkToFit="0" readingOrder="0"/>
    </dxf>
    <dxf>
      <border outline="0">
        <top style="thick">
          <color theme="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color theme="9"/>
      </font>
    </dxf>
    <dxf>
      <font>
        <color rgb="FFC00000"/>
      </font>
    </dxf>
    <dxf>
      <font>
        <color theme="9"/>
      </font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MAGNITUDE ANTES E DEPOIS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MAGNITUDE ORIGINAL</c:v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val>
            <c:numRef>
              <c:f>'MATRIZ IMPACTOS'!$J$2:$J$24</c:f>
              <c:numCache>
                <c:formatCode>0.00</c:formatCode>
                <c:ptCount val="23"/>
                <c:pt idx="0" formatCode="General">
                  <c:v>66.5</c:v>
                </c:pt>
                <c:pt idx="1">
                  <c:v>113.7</c:v>
                </c:pt>
                <c:pt idx="2">
                  <c:v>113.7</c:v>
                </c:pt>
                <c:pt idx="3">
                  <c:v>123.1</c:v>
                </c:pt>
                <c:pt idx="4">
                  <c:v>123.1</c:v>
                </c:pt>
                <c:pt idx="5">
                  <c:v>123.1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C4-479F-B9AA-F8C58B7FFE11}"/>
            </c:ext>
          </c:extLst>
        </c:ser>
        <c:ser>
          <c:idx val="1"/>
          <c:order val="1"/>
          <c:tx>
            <c:v>MAGNITUDE PÓS-MITIGAÇÃO</c:v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val>
            <c:numRef>
              <c:f>'MATRIZ IMPACTOS'!$O$2:$O$24</c:f>
              <c:numCache>
                <c:formatCode>General</c:formatCode>
                <c:ptCount val="23"/>
                <c:pt idx="0">
                  <c:v>66.5</c:v>
                </c:pt>
                <c:pt idx="1">
                  <c:v>113.7</c:v>
                </c:pt>
                <c:pt idx="2">
                  <c:v>113.7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C4-479F-B9AA-F8C58B7FF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49520096"/>
        <c:axId val="249520656"/>
      </c:barChart>
      <c:catAx>
        <c:axId val="2495200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49520656"/>
        <c:crosses val="autoZero"/>
        <c:auto val="1"/>
        <c:lblAlgn val="ctr"/>
        <c:lblOffset val="100"/>
        <c:noMultiLvlLbl val="0"/>
      </c:catAx>
      <c:valAx>
        <c:axId val="24952065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49520096"/>
        <c:crosses val="autoZero"/>
        <c:crossBetween val="between"/>
        <c:majorUnit val="33.17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MAGNITUDE GERAL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MAGNITUDE ORIGINAL</c:v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val>
            <c:numRef>
              <c:f>'MATRIZ IMPACTOS'!$J$25</c:f>
              <c:numCache>
                <c:formatCode>0.00</c:formatCode>
                <c:ptCount val="1"/>
                <c:pt idx="0">
                  <c:v>110.53333333333335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A-4051-990A-41A2A616DBD6}"/>
            </c:ext>
          </c:extLst>
        </c:ser>
        <c:ser>
          <c:idx val="1"/>
          <c:order val="1"/>
          <c:tx>
            <c:v>MAGNITUDE PÓS-MITIGAÇÃO</c:v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val>
            <c:numRef>
              <c:f>'MATRIZ IMPACTOS'!$O$25</c:f>
              <c:numCache>
                <c:formatCode>0.00</c:formatCode>
                <c:ptCount val="1"/>
                <c:pt idx="0">
                  <c:v>97.966666666666654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A-4051-990A-41A2A616D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59071760"/>
        <c:axId val="259072320"/>
      </c:barChart>
      <c:catAx>
        <c:axId val="2590717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9072320"/>
        <c:crosses val="autoZero"/>
        <c:auto val="1"/>
        <c:lblAlgn val="ctr"/>
        <c:lblOffset val="100"/>
        <c:noMultiLvlLbl val="0"/>
      </c:catAx>
      <c:valAx>
        <c:axId val="2590723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59071760"/>
        <c:crosses val="autoZero"/>
        <c:crossBetween val="between"/>
        <c:majorUnit val="33.17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571500</xdr:colOff>
      <xdr:row>25</xdr:row>
      <xdr:rowOff>95936</xdr:rowOff>
    </xdr:from>
    <xdr:to>
      <xdr:col>20</xdr:col>
      <xdr:colOff>225426</xdr:colOff>
      <xdr:row>28</xdr:row>
      <xdr:rowOff>113987</xdr:rowOff>
    </xdr:to>
    <xdr:pic>
      <xdr:nvPicPr>
        <xdr:cNvPr id="1170" name="Imagem 3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081500" y="10668686"/>
          <a:ext cx="2066926" cy="7959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136073</xdr:colOff>
      <xdr:row>0</xdr:row>
      <xdr:rowOff>206376</xdr:rowOff>
    </xdr:from>
    <xdr:to>
      <xdr:col>20</xdr:col>
      <xdr:colOff>544287</xdr:colOff>
      <xdr:row>18</xdr:row>
      <xdr:rowOff>63501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136071</xdr:colOff>
      <xdr:row>18</xdr:row>
      <xdr:rowOff>174625</xdr:rowOff>
    </xdr:from>
    <xdr:to>
      <xdr:col>20</xdr:col>
      <xdr:colOff>544285</xdr:colOff>
      <xdr:row>24</xdr:row>
      <xdr:rowOff>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666750</xdr:colOff>
      <xdr:row>0</xdr:row>
      <xdr:rowOff>69851</xdr:rowOff>
    </xdr:from>
    <xdr:to>
      <xdr:col>3</xdr:col>
      <xdr:colOff>2272550</xdr:colOff>
      <xdr:row>3</xdr:row>
      <xdr:rowOff>118774</xdr:rowOff>
    </xdr:to>
    <xdr:pic>
      <xdr:nvPicPr>
        <xdr:cNvPr id="2101" name="Imagem 3">
          <a:extLst>
            <a:ext uri="{FF2B5EF4-FFF2-40B4-BE49-F238E27FC236}">
              <a16:creationId xmlns:a16="http://schemas.microsoft.com/office/drawing/2014/main" id="{00000000-0008-0000-0100-000035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69851"/>
          <a:ext cx="1605800" cy="6204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P25" totalsRowCount="1" headerRowDxfId="35" dataDxfId="34" totalsRowDxfId="33" totalsRowBorderDxfId="32">
  <autoFilter ref="A1:P24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sortState ref="A2:O26">
    <sortCondition ref="B1:B26"/>
  </sortState>
  <tableColumns count="16">
    <tableColumn id="1" xr3:uid="{00000000-0010-0000-0000-000001000000}" name="IMPACTO" totalsRowLabel="ÍNDICE DE MAGNITUDE" dataDxfId="31" totalsRowDxfId="30"/>
    <tableColumn id="2" xr3:uid="{00000000-0010-0000-0000-000002000000}" name="DESCRIÇÃO" dataDxfId="29" totalsRowDxfId="28"/>
    <tableColumn id="3" xr3:uid="{00000000-0010-0000-0000-000003000000}" name="NATUREZA DO IMPACTO" dataDxfId="27" totalsRowDxfId="26"/>
    <tableColumn id="4" xr3:uid="{00000000-0010-0000-0000-000004000000}" name="FASE DE OCORRÊNCIA" dataDxfId="25" totalsRowDxfId="24"/>
    <tableColumn id="5" xr3:uid="{00000000-0010-0000-0000-000005000000}" name="EXPECTATIVA DE OCORRÊNCIA" dataDxfId="23" totalsRowDxfId="22"/>
    <tableColumn id="6" xr3:uid="{00000000-0010-0000-0000-000006000000}" name="ABRANGÊNCIA" dataDxfId="21" totalsRowDxfId="20"/>
    <tableColumn id="7" xr3:uid="{00000000-0010-0000-0000-000007000000}" name="IMPORTÂNCIA" dataDxfId="19" totalsRowDxfId="18"/>
    <tableColumn id="8" xr3:uid="{00000000-0010-0000-0000-000008000000}" name="REVERSIBILIDADE" dataDxfId="17" totalsRowDxfId="16"/>
    <tableColumn id="9" xr3:uid="{00000000-0010-0000-0000-000009000000}" name="PRAZO" dataDxfId="15" totalsRowDxfId="14"/>
    <tableColumn id="10" xr3:uid="{00000000-0010-0000-0000-00000A000000}" name="VALORAÇÃO" totalsRowFunction="average" dataDxfId="13" totalsRowDxfId="12"/>
    <tableColumn id="16" xr3:uid="{00000000-0010-0000-0000-000010000000}" name="Colunas1" totalsRowFunction="sum" dataDxfId="11" totalsRowDxfId="10">
      <calculatedColumnFormula>IF(Tabela1[[#This Row],[NATUREZA DO IMPACTO]]="NEGATIVO",Tabela1[[#This Row],[ABRANGÊNCIA]]*Tabela1[[#This Row],[VAL + MIT]],"")</calculatedColumnFormula>
    </tableColumn>
    <tableColumn id="11" xr3:uid="{00000000-0010-0000-0000-00000B000000}" name="MAGNITUDE" dataDxfId="9" totalsRowDxfId="8"/>
    <tableColumn id="12" xr3:uid="{00000000-0010-0000-0000-00000C000000}" name=" AÇÃO MITIGADORA / POTENCIALIZADORA" dataDxfId="7" totalsRowDxfId="6"/>
    <tableColumn id="13" xr3:uid="{00000000-0010-0000-0000-00000D000000}" name="MITIGAÇÃO (%)" dataDxfId="5" totalsRowDxfId="4"/>
    <tableColumn id="14" xr3:uid="{00000000-0010-0000-0000-00000E000000}" name="VAL + MIT" totalsRowFunction="average" dataDxfId="3" totalsRowDxfId="2"/>
    <tableColumn id="15" xr3:uid="{00000000-0010-0000-0000-00000F000000}" name="MAGNITUDE FINAL" totalsRowFunction="custom" dataDxfId="1" totalsRowDxfId="0">
      <totalsRowFormula>IF(O25&lt;=33.17,1,(IF(O25&lt;=66.35,2,(IF(O25&lt;=99.52,3,(IF(O25&lt;=132.7,4,"")))))))</totalsRow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P31"/>
  <sheetViews>
    <sheetView topLeftCell="A22" zoomScale="70" zoomScaleNormal="70" workbookViewId="0">
      <selection activeCell="F33" sqref="F33"/>
    </sheetView>
  </sheetViews>
  <sheetFormatPr defaultRowHeight="15" x14ac:dyDescent="0.25"/>
  <cols>
    <col min="1" max="1" width="52.28515625" style="24" customWidth="1"/>
    <col min="2" max="2" width="52.28515625" style="24" hidden="1" customWidth="1"/>
    <col min="3" max="3" width="31.28515625" customWidth="1"/>
    <col min="4" max="9" width="6.5703125" customWidth="1"/>
    <col min="10" max="10" width="10.140625" customWidth="1"/>
    <col min="11" max="11" width="10.7109375" hidden="1" customWidth="1"/>
    <col min="12" max="12" width="8.42578125" customWidth="1"/>
    <col min="13" max="13" width="51.5703125" customWidth="1"/>
    <col min="14" max="14" width="14.42578125" customWidth="1"/>
    <col min="15" max="15" width="14.7109375" customWidth="1"/>
    <col min="16" max="16" width="24.42578125" customWidth="1"/>
  </cols>
  <sheetData>
    <row r="1" spans="1:16" s="1" customFormat="1" ht="120.75" customHeight="1" thickBot="1" x14ac:dyDescent="0.3">
      <c r="A1" s="18" t="s">
        <v>0</v>
      </c>
      <c r="B1" s="19" t="s">
        <v>1</v>
      </c>
      <c r="C1" s="19" t="s">
        <v>37</v>
      </c>
      <c r="D1" s="20" t="s">
        <v>2</v>
      </c>
      <c r="E1" s="20" t="s">
        <v>3</v>
      </c>
      <c r="F1" s="20" t="s">
        <v>4</v>
      </c>
      <c r="G1" s="20" t="s">
        <v>5</v>
      </c>
      <c r="H1" s="20" t="s">
        <v>6</v>
      </c>
      <c r="I1" s="20" t="s">
        <v>7</v>
      </c>
      <c r="J1" s="20" t="s">
        <v>8</v>
      </c>
      <c r="K1" s="20" t="s">
        <v>43</v>
      </c>
      <c r="L1" s="20" t="s">
        <v>9</v>
      </c>
      <c r="M1" s="19" t="s">
        <v>38</v>
      </c>
      <c r="N1" s="19" t="s">
        <v>10</v>
      </c>
      <c r="O1" s="19" t="s">
        <v>13</v>
      </c>
      <c r="P1" s="19" t="s">
        <v>11</v>
      </c>
    </row>
    <row r="2" spans="1:16" s="25" customFormat="1" ht="30" customHeight="1" thickTop="1" x14ac:dyDescent="0.25">
      <c r="A2" s="26" t="s">
        <v>48</v>
      </c>
      <c r="B2" s="27"/>
      <c r="C2" s="28" t="s">
        <v>54</v>
      </c>
      <c r="D2" s="29">
        <v>5</v>
      </c>
      <c r="E2" s="29">
        <v>1</v>
      </c>
      <c r="F2" s="29">
        <v>1</v>
      </c>
      <c r="G2" s="29">
        <v>1</v>
      </c>
      <c r="H2" s="29">
        <v>1</v>
      </c>
      <c r="I2" s="29">
        <v>5</v>
      </c>
      <c r="J2" s="29">
        <f t="shared" ref="J2:J24" si="0">IF($D2&lt;&gt;0,($D2*5+$E2*4.9+$F2*4.8+$G2*4.7+$H2*4.6+$I2*4.5),"")</f>
        <v>66.5</v>
      </c>
      <c r="K2" s="58">
        <f>IF(Tabela1[[#This Row],[NATUREZA DO IMPACTO]]="NEGATIVO",Tabela1[[#This Row],[ABRANGÊNCIA]]*Tabela1[[#This Row],[VAL + MIT]],"")</f>
        <v>66.5</v>
      </c>
      <c r="L2" s="28" t="str">
        <f t="shared" ref="L2:L24" si="1">IF($J2&lt;=33.17,"NULA",(IF($J2&lt;=66.35,"BAIXA",(IF($J2&lt;=99.52,"MÉDIA",(IF($J2&lt;=132.7,"ALTA","")))))))</f>
        <v>MÉDIA</v>
      </c>
      <c r="M2" s="28"/>
      <c r="N2" s="30"/>
      <c r="O2" s="31">
        <f t="shared" ref="O2:O24" si="2">IF($C2="NEGATIVO",(IF($D2&lt;&gt;0,($J2-($N2*$J2/100)),"")),(IF($C2="POSITIVO","POSITIVO","")))</f>
        <v>66.5</v>
      </c>
      <c r="P2" s="28" t="str">
        <f t="shared" ref="P2:P24" si="3">IF($O2&lt;=33.17,"NULA",(IF($O2&lt;=66.35,"BAIXA",(IF($O2&lt;=99.52,"MÉDIA",(IF($O2&lt;=132.7,"ALTA","")))))))</f>
        <v>MÉDIA</v>
      </c>
    </row>
    <row r="3" spans="1:16" ht="30" customHeight="1" x14ac:dyDescent="0.25">
      <c r="A3" s="32" t="s">
        <v>49</v>
      </c>
      <c r="B3" s="33"/>
      <c r="C3" s="34" t="s">
        <v>54</v>
      </c>
      <c r="D3" s="35">
        <v>5</v>
      </c>
      <c r="E3" s="35">
        <v>3</v>
      </c>
      <c r="F3" s="35">
        <v>3</v>
      </c>
      <c r="G3" s="35">
        <v>3</v>
      </c>
      <c r="H3" s="35">
        <v>5</v>
      </c>
      <c r="I3" s="35">
        <v>5</v>
      </c>
      <c r="J3" s="56">
        <f t="shared" si="0"/>
        <v>113.7</v>
      </c>
      <c r="K3" s="56">
        <f>IF(Tabela1[[#This Row],[NATUREZA DO IMPACTO]]="NEGATIVO",Tabela1[[#This Row],[ABRANGÊNCIA]]*Tabela1[[#This Row],[VAL + MIT]],"")</f>
        <v>341.1</v>
      </c>
      <c r="L3" s="36" t="str">
        <f t="shared" si="1"/>
        <v>ALTA</v>
      </c>
      <c r="M3" s="34"/>
      <c r="N3" s="37"/>
      <c r="O3" s="38">
        <f t="shared" si="2"/>
        <v>113.7</v>
      </c>
      <c r="P3" s="36" t="str">
        <f t="shared" si="3"/>
        <v>ALTA</v>
      </c>
    </row>
    <row r="4" spans="1:16" ht="30" customHeight="1" x14ac:dyDescent="0.25">
      <c r="A4" s="39" t="s">
        <v>50</v>
      </c>
      <c r="B4" s="40"/>
      <c r="C4" s="41" t="s">
        <v>54</v>
      </c>
      <c r="D4" s="42">
        <v>5</v>
      </c>
      <c r="E4" s="42">
        <v>3</v>
      </c>
      <c r="F4" s="42">
        <v>3</v>
      </c>
      <c r="G4" s="42">
        <v>3</v>
      </c>
      <c r="H4" s="42">
        <v>5</v>
      </c>
      <c r="I4" s="42">
        <v>5</v>
      </c>
      <c r="J4" s="56">
        <f t="shared" si="0"/>
        <v>113.7</v>
      </c>
      <c r="K4" s="56">
        <f>IF(Tabela1[[#This Row],[NATUREZA DO IMPACTO]]="NEGATIVO",Tabela1[[#This Row],[ABRANGÊNCIA]]*Tabela1[[#This Row],[VAL + MIT]],"")</f>
        <v>341.1</v>
      </c>
      <c r="L4" s="43" t="str">
        <f t="shared" si="1"/>
        <v>ALTA</v>
      </c>
      <c r="M4" s="41"/>
      <c r="N4" s="44"/>
      <c r="O4" s="45">
        <f t="shared" si="2"/>
        <v>113.7</v>
      </c>
      <c r="P4" s="43" t="str">
        <f t="shared" si="3"/>
        <v>ALTA</v>
      </c>
    </row>
    <row r="5" spans="1:16" ht="30" customHeight="1" x14ac:dyDescent="0.25">
      <c r="A5" s="32" t="s">
        <v>51</v>
      </c>
      <c r="B5" s="33"/>
      <c r="C5" s="34" t="s">
        <v>55</v>
      </c>
      <c r="D5" s="35">
        <v>5</v>
      </c>
      <c r="E5" s="35">
        <v>3</v>
      </c>
      <c r="F5" s="35">
        <v>3</v>
      </c>
      <c r="G5" s="35">
        <v>5</v>
      </c>
      <c r="H5" s="35">
        <v>5</v>
      </c>
      <c r="I5" s="35">
        <v>5</v>
      </c>
      <c r="J5" s="56">
        <f t="shared" si="0"/>
        <v>123.1</v>
      </c>
      <c r="K5" s="56" t="str">
        <f>IF(Tabela1[[#This Row],[NATUREZA DO IMPACTO]]="NEGATIVO",Tabela1[[#This Row],[ABRANGÊNCIA]]*Tabela1[[#This Row],[VAL + MIT]],"")</f>
        <v/>
      </c>
      <c r="L5" s="36" t="str">
        <f t="shared" si="1"/>
        <v>ALTA</v>
      </c>
      <c r="M5" s="34"/>
      <c r="N5" s="37"/>
      <c r="O5" s="38" t="str">
        <f t="shared" si="2"/>
        <v>POSITIVO</v>
      </c>
      <c r="P5" s="36" t="str">
        <f t="shared" si="3"/>
        <v/>
      </c>
    </row>
    <row r="6" spans="1:16" ht="30" customHeight="1" x14ac:dyDescent="0.25">
      <c r="A6" s="39" t="s">
        <v>52</v>
      </c>
      <c r="B6" s="40">
        <v>5</v>
      </c>
      <c r="C6" s="41" t="s">
        <v>55</v>
      </c>
      <c r="D6" s="42">
        <v>5</v>
      </c>
      <c r="E6" s="42">
        <v>3</v>
      </c>
      <c r="F6" s="42">
        <v>3</v>
      </c>
      <c r="G6" s="42">
        <v>5</v>
      </c>
      <c r="H6" s="42">
        <v>5</v>
      </c>
      <c r="I6" s="42">
        <v>5</v>
      </c>
      <c r="J6" s="56">
        <f t="shared" si="0"/>
        <v>123.1</v>
      </c>
      <c r="K6" s="56" t="str">
        <f>IF(Tabela1[[#This Row],[NATUREZA DO IMPACTO]]="NEGATIVO",Tabela1[[#This Row],[ABRANGÊNCIA]]*Tabela1[[#This Row],[VAL + MIT]],"")</f>
        <v/>
      </c>
      <c r="L6" s="43" t="str">
        <f t="shared" si="1"/>
        <v>ALTA</v>
      </c>
      <c r="M6" s="41"/>
      <c r="N6" s="44"/>
      <c r="O6" s="45" t="str">
        <f t="shared" si="2"/>
        <v>POSITIVO</v>
      </c>
      <c r="P6" s="43" t="str">
        <f t="shared" si="3"/>
        <v/>
      </c>
    </row>
    <row r="7" spans="1:16" ht="30" customHeight="1" x14ac:dyDescent="0.25">
      <c r="A7" s="32" t="s">
        <v>53</v>
      </c>
      <c r="B7" s="33">
        <v>6</v>
      </c>
      <c r="C7" s="34" t="s">
        <v>55</v>
      </c>
      <c r="D7" s="35">
        <v>5</v>
      </c>
      <c r="E7" s="35">
        <v>3</v>
      </c>
      <c r="F7" s="35">
        <v>3</v>
      </c>
      <c r="G7" s="35">
        <v>5</v>
      </c>
      <c r="H7" s="35">
        <v>5</v>
      </c>
      <c r="I7" s="35">
        <v>5</v>
      </c>
      <c r="J7" s="56">
        <f t="shared" si="0"/>
        <v>123.1</v>
      </c>
      <c r="K7" s="56" t="str">
        <f>IF(Tabela1[[#This Row],[NATUREZA DO IMPACTO]]="NEGATIVO",Tabela1[[#This Row],[ABRANGÊNCIA]]*Tabela1[[#This Row],[VAL + MIT]],"")</f>
        <v/>
      </c>
      <c r="L7" s="36" t="str">
        <f t="shared" si="1"/>
        <v>ALTA</v>
      </c>
      <c r="M7" s="34"/>
      <c r="N7" s="37"/>
      <c r="O7" s="38" t="str">
        <f t="shared" si="2"/>
        <v>POSITIVO</v>
      </c>
      <c r="P7" s="36" t="str">
        <f t="shared" si="3"/>
        <v/>
      </c>
    </row>
    <row r="8" spans="1:16" ht="30" customHeight="1" x14ac:dyDescent="0.25">
      <c r="A8" s="39"/>
      <c r="B8" s="40">
        <v>7</v>
      </c>
      <c r="C8" s="41"/>
      <c r="D8" s="42"/>
      <c r="E8" s="42"/>
      <c r="F8" s="42"/>
      <c r="G8" s="42"/>
      <c r="H8" s="42"/>
      <c r="I8" s="42"/>
      <c r="J8" s="56" t="str">
        <f t="shared" si="0"/>
        <v/>
      </c>
      <c r="K8" s="56" t="str">
        <f>IF(Tabela1[[#This Row],[NATUREZA DO IMPACTO]]="NEGATIVO",Tabela1[[#This Row],[ABRANGÊNCIA]]*Tabela1[[#This Row],[VAL + MIT]],"")</f>
        <v/>
      </c>
      <c r="L8" s="43" t="str">
        <f t="shared" si="1"/>
        <v/>
      </c>
      <c r="M8" s="41"/>
      <c r="N8" s="44"/>
      <c r="O8" s="45" t="str">
        <f t="shared" si="2"/>
        <v/>
      </c>
      <c r="P8" s="43" t="str">
        <f t="shared" si="3"/>
        <v/>
      </c>
    </row>
    <row r="9" spans="1:16" ht="30" customHeight="1" x14ac:dyDescent="0.25">
      <c r="A9" s="32"/>
      <c r="B9" s="33">
        <v>8</v>
      </c>
      <c r="C9" s="34"/>
      <c r="D9" s="35"/>
      <c r="E9" s="35"/>
      <c r="F9" s="35"/>
      <c r="G9" s="35"/>
      <c r="H9" s="35"/>
      <c r="I9" s="35"/>
      <c r="J9" s="56" t="str">
        <f t="shared" si="0"/>
        <v/>
      </c>
      <c r="K9" s="56" t="str">
        <f>IF(Tabela1[[#This Row],[NATUREZA DO IMPACTO]]="NEGATIVO",Tabela1[[#This Row],[ABRANGÊNCIA]]*Tabela1[[#This Row],[VAL + MIT]],"")</f>
        <v/>
      </c>
      <c r="L9" s="36" t="str">
        <f t="shared" si="1"/>
        <v/>
      </c>
      <c r="M9" s="34"/>
      <c r="N9" s="37"/>
      <c r="O9" s="38" t="str">
        <f t="shared" si="2"/>
        <v/>
      </c>
      <c r="P9" s="36" t="str">
        <f t="shared" si="3"/>
        <v/>
      </c>
    </row>
    <row r="10" spans="1:16" ht="30" customHeight="1" x14ac:dyDescent="0.25">
      <c r="A10" s="39"/>
      <c r="B10" s="40">
        <v>9</v>
      </c>
      <c r="C10" s="41"/>
      <c r="D10" s="42"/>
      <c r="E10" s="42"/>
      <c r="F10" s="42"/>
      <c r="G10" s="42"/>
      <c r="H10" s="42"/>
      <c r="I10" s="42"/>
      <c r="J10" s="56" t="str">
        <f t="shared" si="0"/>
        <v/>
      </c>
      <c r="K10" s="56" t="str">
        <f>IF(Tabela1[[#This Row],[NATUREZA DO IMPACTO]]="NEGATIVO",Tabela1[[#This Row],[ABRANGÊNCIA]]*Tabela1[[#This Row],[VAL + MIT]],"")</f>
        <v/>
      </c>
      <c r="L10" s="43" t="str">
        <f t="shared" si="1"/>
        <v/>
      </c>
      <c r="M10" s="41"/>
      <c r="N10" s="44"/>
      <c r="O10" s="45" t="str">
        <f t="shared" si="2"/>
        <v/>
      </c>
      <c r="P10" s="43" t="str">
        <f t="shared" si="3"/>
        <v/>
      </c>
    </row>
    <row r="11" spans="1:16" ht="30" customHeight="1" x14ac:dyDescent="0.25">
      <c r="A11" s="32"/>
      <c r="B11" s="33">
        <v>10</v>
      </c>
      <c r="C11" s="34"/>
      <c r="D11" s="35"/>
      <c r="E11" s="35"/>
      <c r="F11" s="35"/>
      <c r="G11" s="35"/>
      <c r="H11" s="35"/>
      <c r="I11" s="35"/>
      <c r="J11" s="56" t="str">
        <f t="shared" si="0"/>
        <v/>
      </c>
      <c r="K11" s="56" t="str">
        <f>IF(Tabela1[[#This Row],[NATUREZA DO IMPACTO]]="NEGATIVO",Tabela1[[#This Row],[ABRANGÊNCIA]]*Tabela1[[#This Row],[VAL + MIT]],"")</f>
        <v/>
      </c>
      <c r="L11" s="36" t="str">
        <f t="shared" si="1"/>
        <v/>
      </c>
      <c r="M11" s="34"/>
      <c r="N11" s="37"/>
      <c r="O11" s="38" t="str">
        <f t="shared" si="2"/>
        <v/>
      </c>
      <c r="P11" s="36" t="str">
        <f t="shared" si="3"/>
        <v/>
      </c>
    </row>
    <row r="12" spans="1:16" ht="30" customHeight="1" x14ac:dyDescent="0.25">
      <c r="A12" s="39"/>
      <c r="B12" s="40">
        <v>11</v>
      </c>
      <c r="C12" s="41"/>
      <c r="D12" s="42"/>
      <c r="E12" s="42"/>
      <c r="F12" s="42"/>
      <c r="G12" s="42"/>
      <c r="H12" s="42"/>
      <c r="I12" s="42"/>
      <c r="J12" s="56" t="str">
        <f t="shared" si="0"/>
        <v/>
      </c>
      <c r="K12" s="56" t="str">
        <f>IF(Tabela1[[#This Row],[NATUREZA DO IMPACTO]]="NEGATIVO",Tabela1[[#This Row],[ABRANGÊNCIA]]*Tabela1[[#This Row],[VAL + MIT]],"")</f>
        <v/>
      </c>
      <c r="L12" s="41" t="str">
        <f t="shared" si="1"/>
        <v/>
      </c>
      <c r="M12" s="41"/>
      <c r="N12" s="44"/>
      <c r="O12" s="46" t="str">
        <f t="shared" si="2"/>
        <v/>
      </c>
      <c r="P12" s="41" t="str">
        <f t="shared" si="3"/>
        <v/>
      </c>
    </row>
    <row r="13" spans="1:16" s="25" customFormat="1" ht="30" customHeight="1" x14ac:dyDescent="0.25">
      <c r="A13" s="47"/>
      <c r="B13" s="48">
        <v>12</v>
      </c>
      <c r="C13" s="49"/>
      <c r="D13" s="50"/>
      <c r="E13" s="50"/>
      <c r="F13" s="50"/>
      <c r="G13" s="50"/>
      <c r="H13" s="50"/>
      <c r="I13" s="50"/>
      <c r="J13" s="56" t="str">
        <f t="shared" si="0"/>
        <v/>
      </c>
      <c r="K13" s="56" t="str">
        <f>IF(Tabela1[[#This Row],[NATUREZA DO IMPACTO]]="NEGATIVO",Tabela1[[#This Row],[ABRANGÊNCIA]]*Tabela1[[#This Row],[VAL + MIT]],"")</f>
        <v/>
      </c>
      <c r="L13" s="51" t="str">
        <f t="shared" si="1"/>
        <v/>
      </c>
      <c r="M13" s="49"/>
      <c r="N13" s="52"/>
      <c r="O13" s="53" t="str">
        <f t="shared" si="2"/>
        <v/>
      </c>
      <c r="P13" s="51" t="str">
        <f t="shared" si="3"/>
        <v/>
      </c>
    </row>
    <row r="14" spans="1:16" ht="30" customHeight="1" x14ac:dyDescent="0.25">
      <c r="A14" s="39"/>
      <c r="B14" s="40">
        <v>13</v>
      </c>
      <c r="C14" s="41"/>
      <c r="D14" s="42"/>
      <c r="E14" s="42"/>
      <c r="F14" s="42"/>
      <c r="G14" s="42"/>
      <c r="H14" s="42"/>
      <c r="I14" s="42"/>
      <c r="J14" s="56" t="str">
        <f t="shared" si="0"/>
        <v/>
      </c>
      <c r="K14" s="56" t="str">
        <f>IF(Tabela1[[#This Row],[NATUREZA DO IMPACTO]]="NEGATIVO",Tabela1[[#This Row],[ABRANGÊNCIA]]*Tabela1[[#This Row],[VAL + MIT]],"")</f>
        <v/>
      </c>
      <c r="L14" s="43" t="str">
        <f t="shared" si="1"/>
        <v/>
      </c>
      <c r="M14" s="41"/>
      <c r="N14" s="44"/>
      <c r="O14" s="45" t="str">
        <f t="shared" si="2"/>
        <v/>
      </c>
      <c r="P14" s="43" t="str">
        <f t="shared" si="3"/>
        <v/>
      </c>
    </row>
    <row r="15" spans="1:16" ht="30" customHeight="1" x14ac:dyDescent="0.25">
      <c r="A15" s="32"/>
      <c r="B15" s="33">
        <v>14</v>
      </c>
      <c r="C15" s="34"/>
      <c r="D15" s="35"/>
      <c r="E15" s="35"/>
      <c r="F15" s="35"/>
      <c r="G15" s="35"/>
      <c r="H15" s="35"/>
      <c r="I15" s="35"/>
      <c r="J15" s="56" t="str">
        <f t="shared" si="0"/>
        <v/>
      </c>
      <c r="K15" s="56" t="str">
        <f>IF(Tabela1[[#This Row],[NATUREZA DO IMPACTO]]="NEGATIVO",Tabela1[[#This Row],[ABRANGÊNCIA]]*Tabela1[[#This Row],[VAL + MIT]],"")</f>
        <v/>
      </c>
      <c r="L15" s="34" t="str">
        <f t="shared" si="1"/>
        <v/>
      </c>
      <c r="M15" s="34"/>
      <c r="N15" s="37"/>
      <c r="O15" s="54" t="str">
        <f t="shared" si="2"/>
        <v/>
      </c>
      <c r="P15" s="34" t="str">
        <f t="shared" si="3"/>
        <v/>
      </c>
    </row>
    <row r="16" spans="1:16" ht="30" customHeight="1" x14ac:dyDescent="0.25">
      <c r="A16" s="39"/>
      <c r="B16" s="40"/>
      <c r="C16" s="41"/>
      <c r="D16" s="42"/>
      <c r="E16" s="42"/>
      <c r="F16" s="42"/>
      <c r="G16" s="42"/>
      <c r="H16" s="42"/>
      <c r="I16" s="42"/>
      <c r="J16" s="56" t="str">
        <f t="shared" si="0"/>
        <v/>
      </c>
      <c r="K16" s="56" t="str">
        <f>IF(Tabela1[[#This Row],[NATUREZA DO IMPACTO]]="NEGATIVO",Tabela1[[#This Row],[ABRANGÊNCIA]]*Tabela1[[#This Row],[VAL + MIT]],"")</f>
        <v/>
      </c>
      <c r="L16" s="43" t="str">
        <f t="shared" si="1"/>
        <v/>
      </c>
      <c r="M16" s="41"/>
      <c r="N16" s="44"/>
      <c r="O16" s="45" t="str">
        <f t="shared" si="2"/>
        <v/>
      </c>
      <c r="P16" s="43" t="str">
        <f t="shared" si="3"/>
        <v/>
      </c>
    </row>
    <row r="17" spans="1:16" ht="30" customHeight="1" x14ac:dyDescent="0.25">
      <c r="A17" s="32"/>
      <c r="B17" s="33"/>
      <c r="C17" s="34"/>
      <c r="D17" s="35"/>
      <c r="E17" s="35"/>
      <c r="F17" s="35"/>
      <c r="G17" s="35"/>
      <c r="H17" s="35"/>
      <c r="I17" s="35"/>
      <c r="J17" s="56" t="str">
        <f t="shared" si="0"/>
        <v/>
      </c>
      <c r="K17" s="56" t="str">
        <f>IF(Tabela1[[#This Row],[NATUREZA DO IMPACTO]]="NEGATIVO",Tabela1[[#This Row],[ABRANGÊNCIA]]*Tabela1[[#This Row],[VAL + MIT]],"")</f>
        <v/>
      </c>
      <c r="L17" s="36" t="str">
        <f t="shared" si="1"/>
        <v/>
      </c>
      <c r="M17" s="34"/>
      <c r="N17" s="37"/>
      <c r="O17" s="38" t="str">
        <f t="shared" si="2"/>
        <v/>
      </c>
      <c r="P17" s="36" t="str">
        <f t="shared" si="3"/>
        <v/>
      </c>
    </row>
    <row r="18" spans="1:16" ht="30" customHeight="1" x14ac:dyDescent="0.25">
      <c r="A18" s="39"/>
      <c r="B18" s="40"/>
      <c r="C18" s="41"/>
      <c r="D18" s="42"/>
      <c r="E18" s="42"/>
      <c r="F18" s="42"/>
      <c r="G18" s="42"/>
      <c r="H18" s="42"/>
      <c r="I18" s="42"/>
      <c r="J18" s="56" t="str">
        <f t="shared" si="0"/>
        <v/>
      </c>
      <c r="K18" s="56" t="str">
        <f>IF(Tabela1[[#This Row],[NATUREZA DO IMPACTO]]="NEGATIVO",Tabela1[[#This Row],[ABRANGÊNCIA]]*Tabela1[[#This Row],[VAL + MIT]],"")</f>
        <v/>
      </c>
      <c r="L18" s="43" t="str">
        <f t="shared" si="1"/>
        <v/>
      </c>
      <c r="M18" s="41"/>
      <c r="N18" s="44"/>
      <c r="O18" s="45" t="str">
        <f t="shared" si="2"/>
        <v/>
      </c>
      <c r="P18" s="43" t="str">
        <f t="shared" si="3"/>
        <v/>
      </c>
    </row>
    <row r="19" spans="1:16" ht="30" customHeight="1" x14ac:dyDescent="0.25">
      <c r="A19" s="32"/>
      <c r="B19" s="33"/>
      <c r="C19" s="34"/>
      <c r="D19" s="35"/>
      <c r="E19" s="35"/>
      <c r="F19" s="35"/>
      <c r="G19" s="35"/>
      <c r="H19" s="35"/>
      <c r="I19" s="35"/>
      <c r="J19" s="56" t="str">
        <f t="shared" si="0"/>
        <v/>
      </c>
      <c r="K19" s="56" t="str">
        <f>IF(Tabela1[[#This Row],[NATUREZA DO IMPACTO]]="NEGATIVO",Tabela1[[#This Row],[ABRANGÊNCIA]]*Tabela1[[#This Row],[VAL + MIT]],"")</f>
        <v/>
      </c>
      <c r="L19" s="36" t="str">
        <f t="shared" si="1"/>
        <v/>
      </c>
      <c r="M19" s="34"/>
      <c r="N19" s="37"/>
      <c r="O19" s="38" t="str">
        <f t="shared" si="2"/>
        <v/>
      </c>
      <c r="P19" s="36" t="str">
        <f t="shared" si="3"/>
        <v/>
      </c>
    </row>
    <row r="20" spans="1:16" ht="30" customHeight="1" x14ac:dyDescent="0.25">
      <c r="A20" s="39"/>
      <c r="B20" s="40"/>
      <c r="C20" s="41"/>
      <c r="D20" s="42"/>
      <c r="E20" s="42"/>
      <c r="F20" s="42"/>
      <c r="G20" s="42"/>
      <c r="H20" s="55"/>
      <c r="I20" s="55"/>
      <c r="J20" s="56" t="str">
        <f t="shared" si="0"/>
        <v/>
      </c>
      <c r="K20" s="56" t="str">
        <f>IF(Tabela1[[#This Row],[NATUREZA DO IMPACTO]]="NEGATIVO",Tabela1[[#This Row],[ABRANGÊNCIA]]*Tabela1[[#This Row],[VAL + MIT]],"")</f>
        <v/>
      </c>
      <c r="L20" s="43" t="str">
        <f t="shared" si="1"/>
        <v/>
      </c>
      <c r="M20" s="41"/>
      <c r="N20" s="44"/>
      <c r="O20" s="45" t="str">
        <f t="shared" si="2"/>
        <v/>
      </c>
      <c r="P20" s="43" t="str">
        <f t="shared" si="3"/>
        <v/>
      </c>
    </row>
    <row r="21" spans="1:16" ht="30" customHeight="1" x14ac:dyDescent="0.25">
      <c r="A21" s="32"/>
      <c r="B21" s="33"/>
      <c r="C21" s="34"/>
      <c r="D21" s="35"/>
      <c r="E21" s="35"/>
      <c r="F21" s="35"/>
      <c r="G21" s="35"/>
      <c r="H21" s="35"/>
      <c r="I21" s="35"/>
      <c r="J21" s="56" t="str">
        <f t="shared" si="0"/>
        <v/>
      </c>
      <c r="K21" s="56" t="str">
        <f>IF(Tabela1[[#This Row],[NATUREZA DO IMPACTO]]="NEGATIVO",Tabela1[[#This Row],[ABRANGÊNCIA]]*Tabela1[[#This Row],[VAL + MIT]],"")</f>
        <v/>
      </c>
      <c r="L21" s="36" t="str">
        <f t="shared" si="1"/>
        <v/>
      </c>
      <c r="M21" s="34"/>
      <c r="N21" s="37"/>
      <c r="O21" s="38" t="str">
        <f t="shared" si="2"/>
        <v/>
      </c>
      <c r="P21" s="36" t="str">
        <f t="shared" si="3"/>
        <v/>
      </c>
    </row>
    <row r="22" spans="1:16" ht="30" customHeight="1" x14ac:dyDescent="0.25">
      <c r="A22" s="39"/>
      <c r="B22" s="40"/>
      <c r="C22" s="41"/>
      <c r="D22" s="42"/>
      <c r="E22" s="42"/>
      <c r="F22" s="42"/>
      <c r="G22" s="42"/>
      <c r="H22" s="42"/>
      <c r="I22" s="42"/>
      <c r="J22" s="56" t="str">
        <f t="shared" si="0"/>
        <v/>
      </c>
      <c r="K22" s="56" t="str">
        <f>IF(Tabela1[[#This Row],[NATUREZA DO IMPACTO]]="NEGATIVO",Tabela1[[#This Row],[ABRANGÊNCIA]]*Tabela1[[#This Row],[VAL + MIT]],"")</f>
        <v/>
      </c>
      <c r="L22" s="43" t="str">
        <f t="shared" si="1"/>
        <v/>
      </c>
      <c r="M22" s="41"/>
      <c r="N22" s="44"/>
      <c r="O22" s="45" t="str">
        <f t="shared" si="2"/>
        <v/>
      </c>
      <c r="P22" s="43" t="str">
        <f t="shared" si="3"/>
        <v/>
      </c>
    </row>
    <row r="23" spans="1:16" ht="30" customHeight="1" x14ac:dyDescent="0.25">
      <c r="A23" s="32"/>
      <c r="B23" s="33"/>
      <c r="C23" s="34"/>
      <c r="D23" s="35"/>
      <c r="E23" s="35"/>
      <c r="F23" s="35"/>
      <c r="G23" s="35"/>
      <c r="H23" s="35"/>
      <c r="I23" s="35"/>
      <c r="J23" s="56" t="str">
        <f t="shared" si="0"/>
        <v/>
      </c>
      <c r="K23" s="56" t="str">
        <f>IF(Tabela1[[#This Row],[NATUREZA DO IMPACTO]]="NEGATIVO",Tabela1[[#This Row],[ABRANGÊNCIA]]*Tabela1[[#This Row],[VAL + MIT]],"")</f>
        <v/>
      </c>
      <c r="L23" s="36" t="str">
        <f t="shared" si="1"/>
        <v/>
      </c>
      <c r="M23" s="34"/>
      <c r="N23" s="37"/>
      <c r="O23" s="38" t="str">
        <f t="shared" si="2"/>
        <v/>
      </c>
      <c r="P23" s="36" t="str">
        <f t="shared" si="3"/>
        <v/>
      </c>
    </row>
    <row r="24" spans="1:16" ht="30" customHeight="1" thickBot="1" x14ac:dyDescent="0.3">
      <c r="A24" s="39"/>
      <c r="B24" s="40"/>
      <c r="C24" s="41"/>
      <c r="D24" s="42"/>
      <c r="E24" s="42"/>
      <c r="F24" s="42"/>
      <c r="G24" s="42"/>
      <c r="H24" s="42"/>
      <c r="I24" s="42"/>
      <c r="J24" s="56" t="str">
        <f t="shared" si="0"/>
        <v/>
      </c>
      <c r="K24" s="56" t="str">
        <f>IF(Tabela1[[#This Row],[NATUREZA DO IMPACTO]]="NEGATIVO",Tabela1[[#This Row],[ABRANGÊNCIA]]*Tabela1[[#This Row],[VAL + MIT]],"")</f>
        <v/>
      </c>
      <c r="L24" s="43" t="str">
        <f t="shared" si="1"/>
        <v/>
      </c>
      <c r="M24" s="41"/>
      <c r="N24" s="44"/>
      <c r="O24" s="45" t="str">
        <f t="shared" si="2"/>
        <v/>
      </c>
      <c r="P24" s="43" t="str">
        <f t="shared" si="3"/>
        <v/>
      </c>
    </row>
    <row r="25" spans="1:16" ht="21.75" thickTop="1" x14ac:dyDescent="0.25">
      <c r="A25" s="22" t="s">
        <v>12</v>
      </c>
      <c r="B25" s="23"/>
      <c r="C25" s="17"/>
      <c r="D25" s="17"/>
      <c r="E25" s="17"/>
      <c r="F25" s="17"/>
      <c r="G25" s="17"/>
      <c r="H25" s="17"/>
      <c r="I25" s="17"/>
      <c r="J25" s="65">
        <f>SUBTOTAL(101,Tabela1[VALORAÇÃO])</f>
        <v>110.53333333333335</v>
      </c>
      <c r="K25" s="59">
        <f>SUBTOTAL(109,Tabela1[Colunas1])</f>
        <v>748.7</v>
      </c>
      <c r="L25" s="17"/>
      <c r="M25" s="17"/>
      <c r="N25" s="21"/>
      <c r="O25" s="65">
        <f>SUBTOTAL(101,Tabela1[VAL + MIT])</f>
        <v>97.966666666666654</v>
      </c>
      <c r="P25" s="17">
        <f>IF(O25&lt;=33.17,1,(IF(O25&lt;=66.35,2,(IF(O25&lt;=99.52,3,(IF(O25&lt;=132.7,4,"")))))))</f>
        <v>3</v>
      </c>
    </row>
    <row r="26" spans="1:16" ht="15.75" thickBot="1" x14ac:dyDescent="0.3"/>
    <row r="27" spans="1:16" ht="22.5" thickTop="1" thickBot="1" x14ac:dyDescent="0.4">
      <c r="C27" s="57" t="s">
        <v>45</v>
      </c>
      <c r="M27" s="67" t="s">
        <v>46</v>
      </c>
      <c r="P27" s="66"/>
    </row>
    <row r="28" spans="1:16" ht="22.5" thickTop="1" thickBot="1" x14ac:dyDescent="0.4">
      <c r="A28" s="57" t="s">
        <v>41</v>
      </c>
      <c r="C28" s="64">
        <v>0.1</v>
      </c>
      <c r="M28" s="67" t="s">
        <v>47</v>
      </c>
      <c r="P28" s="66"/>
    </row>
    <row r="29" spans="1:16" ht="21.75" thickTop="1" x14ac:dyDescent="0.25">
      <c r="A29" s="57" t="s">
        <v>42</v>
      </c>
      <c r="C29" s="64">
        <v>0.5</v>
      </c>
      <c r="M29" s="60"/>
      <c r="N29" s="60"/>
      <c r="P29" s="66"/>
    </row>
    <row r="30" spans="1:16" x14ac:dyDescent="0.25">
      <c r="A30" s="24" t="s">
        <v>4</v>
      </c>
      <c r="C30" s="61">
        <f>IF((Tabela1[[#Totals],[Colunas1]]/SUMIF(Tabela1[NATUREZA DO IMPACTO],"NEGATIVO",Tabela1[VAL + MIT]))&lt;=2,1,(IF((Tabela1[[#Totals],[Colunas1]]/SUMIF(Tabela1[NATUREZA DO IMPACTO],"NEGATIVO",Tabela1[VAL + MIT]))&lt;=4,3,(IF((Tabela1[[#Totals],[Colunas1]]/SUMIF(Tabela1[NATUREZA DO IMPACTO],"NEGATIVO",Tabela1[VAL + MIT]))&lt;=6,5)))))</f>
        <v>3</v>
      </c>
    </row>
    <row r="31" spans="1:16" ht="15" customHeight="1" x14ac:dyDescent="0.25">
      <c r="A31" s="24" t="s">
        <v>44</v>
      </c>
      <c r="C31">
        <f>IF(C30=1,0,(IF(C30=3,C28,C29)))</f>
        <v>0.1</v>
      </c>
    </row>
  </sheetData>
  <sheetProtection insertRows="0" deleteRows="0"/>
  <conditionalFormatting sqref="L2:M24 P2:P24">
    <cfRule type="cellIs" dxfId="42" priority="12" operator="equal">
      <formula>"ALTA"</formula>
    </cfRule>
    <cfRule type="cellIs" dxfId="41" priority="13" operator="equal">
      <formula>"MÉDIA"</formula>
    </cfRule>
    <cfRule type="cellIs" dxfId="40" priority="14" operator="equal">
      <formula>"BAIXA"</formula>
    </cfRule>
    <cfRule type="cellIs" dxfId="39" priority="15" operator="equal">
      <formula>"NULA"</formula>
    </cfRule>
  </conditionalFormatting>
  <conditionalFormatting sqref="C2:C24">
    <cfRule type="cellIs" dxfId="38" priority="6" operator="equal">
      <formula>"POSITIVO"</formula>
    </cfRule>
    <cfRule type="cellIs" dxfId="37" priority="7" operator="equal">
      <formula>"NEGATIVO"</formula>
    </cfRule>
  </conditionalFormatting>
  <conditionalFormatting sqref="O2:O24">
    <cfRule type="cellIs" dxfId="36" priority="5" operator="equal">
      <formula>"POSITIVO"</formula>
    </cfRule>
  </conditionalFormatting>
  <dataValidations count="5">
    <dataValidation type="list" operator="equal" allowBlank="1" showInputMessage="1" showErrorMessage="1" sqref="D2:D24" xr:uid="{00000000-0002-0000-0000-000000000000}">
      <formula1>"1,5"</formula1>
    </dataValidation>
    <dataValidation type="list" allowBlank="1" showInputMessage="1" showErrorMessage="1" sqref="E2:E24" xr:uid="{00000000-0002-0000-0000-000001000000}">
      <formula1>"1,3"</formula1>
    </dataValidation>
    <dataValidation type="list" allowBlank="1" showInputMessage="1" showErrorMessage="1" sqref="F2:I24" xr:uid="{00000000-0002-0000-0000-000002000000}">
      <formula1>"1,3,5"</formula1>
    </dataValidation>
    <dataValidation type="list" allowBlank="1" showInputMessage="1" showErrorMessage="1" sqref="N2:N24" xr:uid="{00000000-0002-0000-0000-000003000000}">
      <formula1>"0,10,30,50,80"</formula1>
    </dataValidation>
    <dataValidation type="list" allowBlank="1" showInputMessage="1" showErrorMessage="1" sqref="C2:C24" xr:uid="{00000000-0002-0000-0000-000004000000}">
      <formula1>"POSITIVO,NEGATIVO"</formula1>
    </dataValidation>
  </dataValidations>
  <pageMargins left="0.25" right="0.25" top="0.75" bottom="0.75" header="0.3" footer="0.3"/>
  <pageSetup paperSize="8" scale="69" orientation="landscape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pageSetUpPr fitToPage="1"/>
  </sheetPr>
  <dimension ref="A2:D41"/>
  <sheetViews>
    <sheetView tabSelected="1" topLeftCell="A22" zoomScale="70" zoomScaleNormal="70" workbookViewId="0">
      <selection activeCell="G21" sqref="G21"/>
    </sheetView>
  </sheetViews>
  <sheetFormatPr defaultRowHeight="15" x14ac:dyDescent="0.25"/>
  <cols>
    <col min="1" max="1" width="61.42578125" style="3" customWidth="1"/>
    <col min="2" max="2" width="5.140625" style="2" bestFit="1" customWidth="1"/>
    <col min="3" max="3" width="18" style="4" bestFit="1" customWidth="1"/>
    <col min="4" max="4" width="37.140625" style="5" customWidth="1"/>
    <col min="5" max="16384" width="9.140625" style="4"/>
  </cols>
  <sheetData>
    <row r="2" spans="1:3" x14ac:dyDescent="0.25">
      <c r="A2" s="68" t="s">
        <v>46</v>
      </c>
      <c r="C2" s="66"/>
    </row>
    <row r="3" spans="1:3" x14ac:dyDescent="0.25">
      <c r="A3" s="68" t="s">
        <v>47</v>
      </c>
      <c r="C3" s="66"/>
    </row>
    <row r="4" spans="1:3" x14ac:dyDescent="0.25">
      <c r="A4" s="60"/>
      <c r="C4" s="66"/>
    </row>
    <row r="16" spans="1:3" ht="9" customHeight="1" x14ac:dyDescent="0.25"/>
    <row r="17" spans="1:4" hidden="1" x14ac:dyDescent="0.25"/>
    <row r="18" spans="1:4" ht="27" customHeight="1" x14ac:dyDescent="0.25">
      <c r="A18" s="69" t="s">
        <v>14</v>
      </c>
      <c r="B18" s="70"/>
      <c r="C18" s="10">
        <v>2</v>
      </c>
      <c r="D18" s="7" t="str">
        <f>IF(C18=1,"ZACI | ZAN",(IF(C18=2,"ZACC | ZACS | ZACER | ZEE | ZAV | ZEI | ZEIS | outros",(IF(C18=3,"ZOR | AEIPH | AEITUR","")))))</f>
        <v>ZACC | ZACS | ZACER | ZEE | ZAV | ZEI | ZEIS | outros</v>
      </c>
    </row>
    <row r="19" spans="1:4" x14ac:dyDescent="0.25">
      <c r="A19" s="69" t="s">
        <v>15</v>
      </c>
      <c r="B19" s="70"/>
      <c r="C19" s="11">
        <v>41</v>
      </c>
    </row>
    <row r="20" spans="1:4" x14ac:dyDescent="0.25">
      <c r="A20" s="69" t="s">
        <v>16</v>
      </c>
      <c r="B20" s="70"/>
      <c r="C20" s="12">
        <v>1917</v>
      </c>
    </row>
    <row r="21" spans="1:4" x14ac:dyDescent="0.25">
      <c r="A21" s="69" t="s">
        <v>17</v>
      </c>
      <c r="B21" s="70"/>
      <c r="C21" s="13">
        <v>100000</v>
      </c>
    </row>
    <row r="22" spans="1:4" x14ac:dyDescent="0.25">
      <c r="C22" s="6"/>
    </row>
    <row r="24" spans="1:4" x14ac:dyDescent="0.25">
      <c r="A24" s="9" t="s">
        <v>28</v>
      </c>
      <c r="B24" s="8" t="s">
        <v>18</v>
      </c>
      <c r="C24" s="14">
        <f>Tabela1[[#Totals],[MAGNITUDE FINAL]]</f>
        <v>3</v>
      </c>
      <c r="D24" s="7" t="str">
        <f>IF(C24=1,"NULO",(IF(C24=2,"BAIXA",(IF(C24=3,"MÉDIA",(IF(C24=4,"ALTA","")))))))</f>
        <v>MÉDIA</v>
      </c>
    </row>
    <row r="25" spans="1:4" ht="33.75" customHeight="1" x14ac:dyDescent="0.25">
      <c r="A25" s="9" t="s">
        <v>29</v>
      </c>
      <c r="B25" s="8" t="s">
        <v>19</v>
      </c>
      <c r="C25" s="10">
        <v>0</v>
      </c>
      <c r="D25" s="7" t="str">
        <f>IF(C25=0,"Causa pequeno impacto nos recursos naturais",(IF(C25=1,"Impacta os recursos naturais, mas o empreendimento é demanda reprimida no município",(IF(C25=2,"Impacta os recursos naturais e o empreendimentos não é demanda reprimida no município",(IF(C25=3,"Impacta os recursos naturais, o empreendimento não é demanda reprimida no município e irá se localizar em área com biodiversidade pouco comprometida","")))))))</f>
        <v>Causa pequeno impacto nos recursos naturais</v>
      </c>
    </row>
    <row r="26" spans="1:4" ht="33.75" customHeight="1" x14ac:dyDescent="0.25">
      <c r="A26" s="9" t="s">
        <v>30</v>
      </c>
      <c r="B26" s="8" t="s">
        <v>20</v>
      </c>
      <c r="C26" s="10">
        <f>IF('MATRIZ IMPACTOS'!C31&lt;=1,1,(IF('MATRIZ IMPACTOS'!C31&lt;=3,2,(IF('MATRIZ IMPACTOS'!C31&lt;=5,3,4)))))</f>
        <v>1</v>
      </c>
      <c r="D26" s="7" t="str">
        <f>IF(C26=1,"Impactos limitados a um raio de 0 a 1 km",(IF(C26=2,"Impactos limitados a um raio de 1 a 3 km",(IF(C26=3,"Impactos limitados a um raio de 3 a 5 km",(IF(C26=4,"Impactos que ultrapassam um raio de 5 km","")))))))</f>
        <v>Impactos limitados a um raio de 0 a 1 km</v>
      </c>
    </row>
    <row r="27" spans="1:4" ht="33.75" customHeight="1" x14ac:dyDescent="0.25">
      <c r="A27" s="9" t="s">
        <v>31</v>
      </c>
      <c r="B27" s="8" t="s">
        <v>21</v>
      </c>
      <c r="C27" s="10">
        <v>4</v>
      </c>
      <c r="D27" s="7" t="str">
        <f>IF(C27=1,"Imediata | de 0 a 1 ano após a instalação do empreendimento",(IF(C27=2,"Curta | superior a 1 e até 3 anos após a instalação do empreendimento",(IF(C27=3,"Média | superior a 3 e até 5 anos após a instalação do empreendimento",(IF(C27=4,"Longa | superior a 5 anos após a instalação do empreendimento","")))))))</f>
        <v>Longa | superior a 5 anos após a instalação do empreendimento</v>
      </c>
    </row>
    <row r="28" spans="1:4" ht="33.75" customHeight="1" x14ac:dyDescent="0.25">
      <c r="A28" s="9" t="s">
        <v>32</v>
      </c>
      <c r="B28" s="8" t="s">
        <v>22</v>
      </c>
      <c r="C28" s="10">
        <v>0</v>
      </c>
      <c r="D28" s="7" t="str">
        <f>IF(C28=0,"Infraestrutura da vizinhança não está comprometida e empreendimento ou mitigações contribuem com melhoras nestes serviços",(IF(C28=1,"Infraestrutura da vizinhança não está comprometida",(IF(C28=2,"Infraestrutura da vizinhança está comprometida , porém empreendimento ou mitigações contribuem com melhorias nestes serviços",(IF(C28=3,"Infraestrutura da vizinhança está comprometida e o empreendimento não possui medidas mitigadoras efetivas","")))))))</f>
        <v>Infraestrutura da vizinhança não está comprometida e empreendimento ou mitigações contribuem com melhoras nestes serviços</v>
      </c>
    </row>
    <row r="29" spans="1:4" x14ac:dyDescent="0.25">
      <c r="C29" s="2"/>
    </row>
    <row r="31" spans="1:4" x14ac:dyDescent="0.25">
      <c r="A31" s="9" t="s">
        <v>33</v>
      </c>
      <c r="B31" s="8" t="s">
        <v>23</v>
      </c>
      <c r="C31" s="15">
        <v>3.0999999999999999E-3</v>
      </c>
    </row>
    <row r="32" spans="1:4" x14ac:dyDescent="0.25">
      <c r="A32" s="9" t="s">
        <v>34</v>
      </c>
      <c r="B32" s="8" t="s">
        <v>24</v>
      </c>
      <c r="C32" s="15">
        <v>0</v>
      </c>
    </row>
    <row r="33" spans="1:3" x14ac:dyDescent="0.25">
      <c r="A33" s="9" t="s">
        <v>35</v>
      </c>
      <c r="B33" s="8" t="s">
        <v>25</v>
      </c>
      <c r="C33" s="15">
        <f>IF(C18=1,0.9,(IF(C18=2,0.7,(IF(C18=3,0.5,"")))))</f>
        <v>0.7</v>
      </c>
    </row>
    <row r="34" spans="1:3" x14ac:dyDescent="0.25">
      <c r="C34" s="2"/>
    </row>
    <row r="35" spans="1:3" x14ac:dyDescent="0.25">
      <c r="A35" s="9" t="s">
        <v>36</v>
      </c>
      <c r="B35" s="8" t="s">
        <v>26</v>
      </c>
      <c r="C35" s="15">
        <f>SUM(C31:C33)</f>
        <v>0.70309999999999995</v>
      </c>
    </row>
    <row r="37" spans="1:3" x14ac:dyDescent="0.25">
      <c r="A37" s="9" t="s">
        <v>40</v>
      </c>
      <c r="B37" s="8" t="s">
        <v>27</v>
      </c>
      <c r="C37" s="63">
        <f>C21*C35/100</f>
        <v>703.1</v>
      </c>
    </row>
    <row r="38" spans="1:3" x14ac:dyDescent="0.25">
      <c r="A38" s="9" t="s">
        <v>39</v>
      </c>
      <c r="B38" s="8" t="s">
        <v>27</v>
      </c>
      <c r="C38" s="62">
        <f>C37/C20</f>
        <v>0.36677099634846116</v>
      </c>
    </row>
    <row r="39" spans="1:3" x14ac:dyDescent="0.25">
      <c r="C39" s="16"/>
    </row>
    <row r="41" spans="1:3" x14ac:dyDescent="0.25">
      <c r="C41" s="6"/>
    </row>
  </sheetData>
  <mergeCells count="4">
    <mergeCell ref="A18:B18"/>
    <mergeCell ref="A19:B19"/>
    <mergeCell ref="A20:B20"/>
    <mergeCell ref="A21:B21"/>
  </mergeCells>
  <dataValidations count="3">
    <dataValidation type="list" allowBlank="1" showInputMessage="1" showErrorMessage="1" sqref="C18" xr:uid="{00000000-0002-0000-0100-000000000000}">
      <formula1>"1,2,3"</formula1>
    </dataValidation>
    <dataValidation type="list" allowBlank="1" showInputMessage="1" showErrorMessage="1" sqref="C25 C28:C29" xr:uid="{00000000-0002-0000-0100-000001000000}">
      <formula1>"0,1,2,3"</formula1>
    </dataValidation>
    <dataValidation type="list" allowBlank="1" showInputMessage="1" showErrorMessage="1" sqref="C27" xr:uid="{00000000-0002-0000-0100-000002000000}">
      <formula1>"1,2,3,4"</formula1>
    </dataValidation>
  </dataValidations>
  <pageMargins left="0.511811024" right="0.511811024" top="0.78740157499999996" bottom="0.78740157499999996" header="0.31496062000000002" footer="0.31496062000000002"/>
  <pageSetup paperSize="9" scale="7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MATRIZ IMPACTOS</vt:lpstr>
      <vt:lpstr>VALOR CONTRAPARTIDA</vt:lpstr>
      <vt:lpstr>'MATRIZ IMPACTOS'!Area_de_impressao</vt:lpstr>
      <vt:lpstr>'VALOR CONTRAPARTIDA'!Area_de_impressao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Miranda Becker</dc:creator>
  <cp:lastModifiedBy>Mayara Almeida</cp:lastModifiedBy>
  <cp:lastPrinted>2018-09-12T18:10:22Z</cp:lastPrinted>
  <dcterms:created xsi:type="dcterms:W3CDTF">2018-05-04T18:47:20Z</dcterms:created>
  <dcterms:modified xsi:type="dcterms:W3CDTF">2019-11-21T18:39:41Z</dcterms:modified>
</cp:coreProperties>
</file>