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D:\PROTOCOLO EIV QUADRAS 23-08\"/>
    </mc:Choice>
  </mc:AlternateContent>
  <bookViews>
    <workbookView xWindow="0" yWindow="0" windowWidth="28800" windowHeight="12435" activeTab="1"/>
  </bookViews>
  <sheets>
    <sheet name="MATRIZ IMPACTOS" sheetId="1" r:id="rId1"/>
    <sheet name="VALOR CONTRAPARTIDA" sheetId="2" r:id="rId2"/>
  </sheets>
  <definedNames>
    <definedName name="_xlnm._FilterDatabase" localSheetId="0" hidden="1">'MATRIZ IMPACTOS'!$A$1:$O$25</definedName>
    <definedName name="_xlnm.Print_Area" localSheetId="0">'MATRIZ IMPACTOS'!$A$1:$T$26</definedName>
    <definedName name="_xlnm.Print_Area" localSheetId="1">'VALOR CONTRAPARTIDA'!$A$1:$D$37</definedName>
  </definedNames>
  <calcPr calcId="152511"/>
</workbook>
</file>

<file path=xl/calcChain.xml><?xml version="1.0" encoding="utf-8"?>
<calcChain xmlns="http://schemas.openxmlformats.org/spreadsheetml/2006/main">
  <c r="N9" i="1" l="1"/>
  <c r="O9" i="1" s="1"/>
  <c r="J9" i="1"/>
  <c r="K9" i="1" s="1"/>
  <c r="N8" i="1"/>
  <c r="O8" i="1" s="1"/>
  <c r="J8" i="1"/>
  <c r="K8" i="1" s="1"/>
  <c r="N7" i="1"/>
  <c r="O7" i="1" s="1"/>
  <c r="J7" i="1"/>
  <c r="K7" i="1" s="1"/>
  <c r="J6" i="1"/>
  <c r="N6" i="1" s="1"/>
  <c r="O6" i="1" s="1"/>
  <c r="J5" i="1"/>
  <c r="K5" i="1" s="1"/>
  <c r="C21" i="2"/>
  <c r="J4" i="1"/>
  <c r="K4" i="1" s="1"/>
  <c r="N3" i="1"/>
  <c r="O3" i="1" s="1"/>
  <c r="J3" i="1"/>
  <c r="K3" i="1" s="1"/>
  <c r="J2" i="1"/>
  <c r="K2" i="1" s="1"/>
  <c r="N4" i="1" l="1"/>
  <c r="O4" i="1" s="1"/>
  <c r="N2" i="1"/>
  <c r="O2" i="1" s="1"/>
  <c r="K6" i="1"/>
  <c r="N5" i="1"/>
  <c r="O5" i="1" s="1"/>
  <c r="N25" i="1"/>
  <c r="O25" i="1" s="1"/>
  <c r="J25" i="1"/>
  <c r="K25" i="1" s="1"/>
  <c r="J24" i="1"/>
  <c r="K24" i="1" s="1"/>
  <c r="N24" i="1"/>
  <c r="O24" i="1" s="1"/>
  <c r="N23" i="1"/>
  <c r="O23" i="1" s="1"/>
  <c r="J23" i="1"/>
  <c r="K23" i="1" s="1"/>
  <c r="J22" i="1"/>
  <c r="K22" i="1" s="1"/>
  <c r="N22" i="1"/>
  <c r="O22" i="1" s="1"/>
  <c r="N21" i="1"/>
  <c r="O21" i="1" s="1"/>
  <c r="J21" i="1"/>
  <c r="K21" i="1" s="1"/>
  <c r="J20" i="1"/>
  <c r="N20" i="1"/>
  <c r="O20" i="1" s="1"/>
  <c r="N19" i="1"/>
  <c r="O19" i="1" s="1"/>
  <c r="J19" i="1"/>
  <c r="K19" i="1" s="1"/>
  <c r="N18" i="1"/>
  <c r="O18" i="1" s="1"/>
  <c r="J18" i="1"/>
  <c r="K18" i="1" s="1"/>
  <c r="J17" i="1"/>
  <c r="K17" i="1" s="1"/>
  <c r="N17" i="1"/>
  <c r="O17" i="1" s="1"/>
  <c r="N16" i="1"/>
  <c r="O16" i="1" s="1"/>
  <c r="J16" i="1"/>
  <c r="K16" i="1" s="1"/>
  <c r="D26" i="2"/>
  <c r="D28" i="2"/>
  <c r="D27" i="2"/>
  <c r="D25" i="2"/>
  <c r="D18" i="2"/>
  <c r="C33" i="2"/>
  <c r="K20" i="1"/>
  <c r="J26" i="1" l="1"/>
  <c r="N26" i="1" l="1"/>
  <c r="O26" i="1" s="1"/>
  <c r="C24" i="2" s="1"/>
  <c r="C31" i="2" l="1"/>
  <c r="D24" i="2" l="1"/>
  <c r="C32" i="2"/>
  <c r="C35" i="2" s="1"/>
  <c r="C37" i="2" s="1"/>
  <c r="C38" i="2" s="1"/>
</calcChain>
</file>

<file path=xl/sharedStrings.xml><?xml version="1.0" encoding="utf-8"?>
<sst xmlns="http://schemas.openxmlformats.org/spreadsheetml/2006/main" count="65" uniqueCount="58">
  <si>
    <t>IMPACTO</t>
  </si>
  <si>
    <t>DESCRIÇÃO</t>
  </si>
  <si>
    <t>FASE DE OCORRÊNCIA</t>
  </si>
  <si>
    <t>EXPECTATIVA DE OCORRÊNCIA</t>
  </si>
  <si>
    <t>ABRANGÊNCIA</t>
  </si>
  <si>
    <t>IMPORTÂNCIA</t>
  </si>
  <si>
    <t>REVERSIBILIDADE</t>
  </si>
  <si>
    <t>PRAZO</t>
  </si>
  <si>
    <t>VALORAÇÃO</t>
  </si>
  <si>
    <t>MAGNITUDE</t>
  </si>
  <si>
    <t>MITIGAÇÃO (%)</t>
  </si>
  <si>
    <t>MAGNITUDE FINAL</t>
  </si>
  <si>
    <t>ÍNDICE DE MAGNITUDE</t>
  </si>
  <si>
    <t>VAL + MIT</t>
  </si>
  <si>
    <t>ZONA DO EMPREENDIMENTO</t>
  </si>
  <si>
    <t>ÁREA EMPREENDIMENTO (m²)</t>
  </si>
  <si>
    <t>CUB-SC (R$)</t>
  </si>
  <si>
    <t>VALOR DE INVESTIMENTO (R$)</t>
  </si>
  <si>
    <t>IM</t>
  </si>
  <si>
    <t>ISRN</t>
  </si>
  <si>
    <t>IA</t>
  </si>
  <si>
    <t>IT</t>
  </si>
  <si>
    <t>ICIV</t>
  </si>
  <si>
    <t>ISSU</t>
  </si>
  <si>
    <t>CIV</t>
  </si>
  <si>
    <t>IEU</t>
  </si>
  <si>
    <t>GI</t>
  </si>
  <si>
    <t>VC</t>
  </si>
  <si>
    <t>ÍNDICE MAGNITUDE</t>
  </si>
  <si>
    <t>ÍNDICE SOBRE RECURSOS NATURAIS</t>
  </si>
  <si>
    <t>ÍNDICE ABRANGÊNCIA</t>
  </si>
  <si>
    <t>ÍNDICE TEMPORALIDADE</t>
  </si>
  <si>
    <t>ÍNDICE COMPROMETIMENTO DE INFRAESTRUTURA DA VIZINHANÇA</t>
  </si>
  <si>
    <t>IMPACTO SOBRE SUSTENTABILIDADE</t>
  </si>
  <si>
    <t>COMPROMETIMENTO DA INFRAESTRUTURA DA VIZINHANÇA</t>
  </si>
  <si>
    <t>INFLUÊNCIA NOS ECOSSISTEMAS URBANOS</t>
  </si>
  <si>
    <t>GRAU DE IMPACTO (%)</t>
  </si>
  <si>
    <t>NATUREZA DO IMPACTO</t>
  </si>
  <si>
    <t>NEGATIVO</t>
  </si>
  <si>
    <t xml:space="preserve"> AÇÃO MITIGADORA / POTENCIALIZADORA</t>
  </si>
  <si>
    <t>POSITIVO</t>
  </si>
  <si>
    <t>Contaminação do solo por RCC</t>
  </si>
  <si>
    <t>VALOR DA CONTRAPARTIDA FINANCEIRA (CUB)</t>
  </si>
  <si>
    <t>VALOR DA CONTRAPARTIDA FINANCEIRA (R$)</t>
  </si>
  <si>
    <t>Distúrbios a fauna terrestre</t>
  </si>
  <si>
    <t>Preservação da vegetação existente no imóvel;
Obra a ser concluída em quatro meses;
Obra com baixa intensidade de ruídos.</t>
  </si>
  <si>
    <t>Demanda sobre o sistema viário</t>
  </si>
  <si>
    <t>O empreendimento irá possuir quarenta vagas de estacionamento, as quais irão suprir as necessidades do mesmo, sem interferir na demanda atual dos estacionamentos localizados na via de acesso;
Bicicletário com 16 vagas, incentivando os usuários do empreendimento a utilizarem bicicletas ao invés de veículos automotivos;
Acessibilidade para pedrestres.</t>
  </si>
  <si>
    <t>Compatibilidade do empreendimento com os equipamentos urbanos</t>
  </si>
  <si>
    <t>Geração de emprego e renda - Implantação</t>
  </si>
  <si>
    <t xml:space="preserve"> Priorizar o recrutamento de trabalhadores do município de Balneário Camboriú;
Priorizar a compra de materiais de fornecedores da região.</t>
  </si>
  <si>
    <t>Geração de emprego e renda - Operação</t>
  </si>
  <si>
    <t>Priorizar o recrutamento de trabalhadores do município de Balneário Camboriú.</t>
  </si>
  <si>
    <t>Uso e ocupação do solo</t>
  </si>
  <si>
    <t>Aumento dos níveis de ruído - Implantação</t>
  </si>
  <si>
    <t>Utilização de Equipamentos de Proteção Individual (EPI) por parte dos trabalhadores, de forma a garantir condições de saúde adequadas;
Execução das atividades nos seguintes dias e horários: segundas-feiras às sextas-feiras das 08:00h às 12:00h e das 13:00h às 18:00h;
Utilização de estruturas pré-moldada.</t>
  </si>
  <si>
    <t>Utilização de estruturas pré-moldadas;
Quadras sem fechamento nas laterais  e com piso de areia.</t>
  </si>
  <si>
    <t>Utilização de lâmpadas LED;
Utlilização de telhas translúcidas e fechamento frontal de vidro para melhor aproveitamento da luz natural;
Conscientização dos funcionários e usuários buscando a redução do desperdício de água;
Utilização de ventilador ao invés de ar condicionado, reduzindo o consumo de energia.
Efluentes encaminhados para a rede de esgotamento sanitário do município.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</si>
</sst>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</fills>
  <borders count="9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4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44" fontId="2" fillId="3" borderId="1" xfId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right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43" fontId="1" fillId="5" borderId="1" xfId="3" applyFont="1" applyFill="1" applyBorder="1" applyAlignment="1" applyProtection="1">
      <alignment horizontal="center" vertical="center"/>
      <protection locked="0"/>
    </xf>
    <xf numFmtId="44" fontId="1" fillId="5" borderId="1" xfId="1" applyFont="1" applyFill="1" applyBorder="1" applyAlignment="1" applyProtection="1">
      <alignment horizontal="center" vertical="center"/>
      <protection locked="0"/>
    </xf>
    <xf numFmtId="44" fontId="1" fillId="6" borderId="1" xfId="1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44" fontId="1" fillId="0" borderId="0" xfId="1" applyFont="1" applyAlignment="1">
      <alignment vertical="center"/>
    </xf>
    <xf numFmtId="0" fontId="5" fillId="7" borderId="4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textRotation="90" wrapText="1"/>
    </xf>
    <xf numFmtId="0" fontId="5" fillId="7" borderId="4" xfId="0" applyNumberFormat="1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7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1" fontId="6" fillId="0" borderId="4" xfId="2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0" fillId="8" borderId="8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vertical="center"/>
    </xf>
    <xf numFmtId="2" fontId="6" fillId="8" borderId="6" xfId="0" applyNumberFormat="1" applyFont="1" applyFill="1" applyBorder="1" applyAlignment="1">
      <alignment vertical="center"/>
    </xf>
    <xf numFmtId="0" fontId="0" fillId="8" borderId="6" xfId="0" applyNumberFormat="1" applyFont="1" applyFill="1" applyBorder="1" applyAlignment="1">
      <alignment horizontal="center" vertical="center"/>
    </xf>
    <xf numFmtId="1" fontId="6" fillId="8" borderId="6" xfId="2" applyNumberFormat="1" applyFont="1" applyFill="1" applyBorder="1" applyAlignment="1">
      <alignment horizontal="center" vertical="center"/>
    </xf>
    <xf numFmtId="0" fontId="0" fillId="8" borderId="6" xfId="0" applyNumberFormat="1" applyFont="1" applyFill="1" applyBorder="1" applyAlignment="1">
      <alignment vertical="center"/>
    </xf>
    <xf numFmtId="0" fontId="0" fillId="9" borderId="8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vertical="center"/>
    </xf>
    <xf numFmtId="2" fontId="6" fillId="9" borderId="6" xfId="0" applyNumberFormat="1" applyFont="1" applyFill="1" applyBorder="1" applyAlignment="1">
      <alignment vertical="center"/>
    </xf>
    <xf numFmtId="0" fontId="0" fillId="9" borderId="6" xfId="0" applyNumberFormat="1" applyFont="1" applyFill="1" applyBorder="1" applyAlignment="1">
      <alignment horizontal="center" vertical="center"/>
    </xf>
    <xf numFmtId="1" fontId="6" fillId="9" borderId="6" xfId="2" applyNumberFormat="1" applyFont="1" applyFill="1" applyBorder="1" applyAlignment="1">
      <alignment horizontal="center" vertical="center"/>
    </xf>
    <xf numFmtId="0" fontId="0" fillId="9" borderId="6" xfId="0" applyNumberFormat="1" applyFont="1" applyFill="1" applyBorder="1" applyAlignment="1">
      <alignment vertical="center"/>
    </xf>
    <xf numFmtId="0" fontId="0" fillId="9" borderId="6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horizontal="center" vertical="center"/>
    </xf>
    <xf numFmtId="1" fontId="6" fillId="0" borderId="6" xfId="2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3" fillId="9" borderId="6" xfId="0" applyFont="1" applyFill="1" applyBorder="1" applyAlignment="1">
      <alignment vertical="center"/>
    </xf>
    <xf numFmtId="0" fontId="0" fillId="8" borderId="6" xfId="0" applyFont="1" applyFill="1" applyBorder="1" applyAlignment="1">
      <alignment horizontal="center" vertical="center" wrapText="1"/>
    </xf>
    <xf numFmtId="0" fontId="0" fillId="9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1" fontId="6" fillId="0" borderId="5" xfId="2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right" vertical="center" indent="1"/>
    </xf>
    <xf numFmtId="0" fontId="0" fillId="4" borderId="2" xfId="0" applyFill="1" applyBorder="1" applyAlignment="1">
      <alignment horizontal="right" vertical="center" indent="1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33"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ont>
        <color theme="9"/>
      </font>
    </dxf>
    <dxf>
      <font>
        <color rgb="FFC00000"/>
      </font>
    </dxf>
    <dxf>
      <font>
        <color theme="9"/>
      </font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ont>
        <color theme="9"/>
      </font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MI GERAL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dk1"/>
            </a:solidFill>
            <a:ln w="12700" cap="flat" cmpd="sng" algn="ctr">
              <a:solidFill>
                <a:schemeClr val="dk1">
                  <a:shade val="50000"/>
                </a:schemeClr>
              </a:solidFill>
              <a:prstDash val="solid"/>
              <a:miter lim="800000"/>
            </a:ln>
            <a:effectLst/>
          </c:spPr>
          <c:val>
            <c:numRef>
              <c:f>('MATRIZ IMPACTOS'!$J$2:$J$9,'MATRIZ IMPACTOS'!$J$12:$J$15)</c:f>
              <c:numCache>
                <c:formatCode>0.00</c:formatCode>
                <c:ptCount val="12"/>
                <c:pt idx="0">
                  <c:v>57.300000000000004</c:v>
                </c:pt>
                <c:pt idx="1">
                  <c:v>38.099999999999994</c:v>
                </c:pt>
                <c:pt idx="2">
                  <c:v>37.699999999999996</c:v>
                </c:pt>
                <c:pt idx="3">
                  <c:v>86.100000000000009</c:v>
                </c:pt>
                <c:pt idx="4">
                  <c:v>85.7</c:v>
                </c:pt>
                <c:pt idx="5">
                  <c:v>75.900000000000006</c:v>
                </c:pt>
                <c:pt idx="6">
                  <c:v>113.9</c:v>
                </c:pt>
                <c:pt idx="7">
                  <c:v>84.300000000000011</c:v>
                </c:pt>
              </c:numCache>
            </c:numRef>
          </c:val>
        </c:ser>
        <c:ser>
          <c:idx val="1"/>
          <c:order val="1"/>
          <c:val>
            <c:numRef>
              <c:f>('MATRIZ IMPACTOS'!$N$2:$N$9,'MATRIZ IMPACTOS'!$N$12:$N$15)</c:f>
              <c:numCache>
                <c:formatCode>General</c:formatCode>
                <c:ptCount val="12"/>
                <c:pt idx="0">
                  <c:v>51.570000000000007</c:v>
                </c:pt>
                <c:pt idx="1">
                  <c:v>26.669999999999995</c:v>
                </c:pt>
                <c:pt idx="2">
                  <c:v>18.849999999999998</c:v>
                </c:pt>
                <c:pt idx="3">
                  <c:v>43.050000000000011</c:v>
                </c:pt>
                <c:pt idx="4">
                  <c:v>42.85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44128"/>
        <c:axId val="292062528"/>
      </c:radarChart>
      <c:catAx>
        <c:axId val="22224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92062528"/>
        <c:crosses val="autoZero"/>
        <c:auto val="0"/>
        <c:lblAlgn val="ctr"/>
        <c:lblOffset val="100"/>
        <c:noMultiLvlLbl val="0"/>
      </c:catAx>
      <c:valAx>
        <c:axId val="2920625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crossAx val="2222441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tx1">
        <a:lumMod val="50000"/>
        <a:lumOff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MI OPERAÇÃO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v>Antes</c:v>
          </c:tx>
          <c:spPr>
            <a:solidFill>
              <a:schemeClr val="dk1"/>
            </a:solidFill>
            <a:ln w="12700" cap="flat" cmpd="sng" algn="ctr">
              <a:solidFill>
                <a:schemeClr val="dk1">
                  <a:shade val="50000"/>
                </a:schemeClr>
              </a:solidFill>
              <a:prstDash val="solid"/>
              <a:miter lim="800000"/>
            </a:ln>
            <a:effectLst/>
          </c:spPr>
          <c:val>
            <c:numRef>
              <c:f>('MATRIZ IMPACTOS'!$J$2:$J$3,'MATRIZ IMPACTOS'!$J$6:$J$7,'MATRIZ IMPACTOS'!$J$11:$J$13)</c:f>
              <c:numCache>
                <c:formatCode>0.00</c:formatCode>
                <c:ptCount val="7"/>
                <c:pt idx="0">
                  <c:v>57.300000000000004</c:v>
                </c:pt>
                <c:pt idx="1">
                  <c:v>38.099999999999994</c:v>
                </c:pt>
                <c:pt idx="2">
                  <c:v>85.7</c:v>
                </c:pt>
                <c:pt idx="3">
                  <c:v>75.900000000000006</c:v>
                </c:pt>
              </c:numCache>
            </c:numRef>
          </c:val>
        </c:ser>
        <c:ser>
          <c:idx val="1"/>
          <c:order val="1"/>
          <c:tx>
            <c:v>Depois</c:v>
          </c:tx>
          <c:spPr>
            <a:solidFill>
              <a:schemeClr val="bg2">
                <a:lumMod val="50000"/>
              </a:schemeClr>
            </a:solidFill>
            <a:ln w="12700" cap="flat" cmpd="sng" algn="ctr">
              <a:solidFill>
                <a:sysClr val="windowText" lastClr="000000"/>
              </a:solidFill>
              <a:prstDash val="solid"/>
              <a:miter lim="800000"/>
            </a:ln>
            <a:effectLst/>
          </c:spPr>
          <c:val>
            <c:numRef>
              <c:f>('MATRIZ IMPACTOS'!$N$2:$N$3,'MATRIZ IMPACTOS'!$N$6:$N$7,'MATRIZ IMPACTOS'!$N$11:$N$13)</c:f>
              <c:numCache>
                <c:formatCode>General</c:formatCode>
                <c:ptCount val="7"/>
                <c:pt idx="0">
                  <c:v>51.570000000000007</c:v>
                </c:pt>
                <c:pt idx="1">
                  <c:v>26.669999999999995</c:v>
                </c:pt>
                <c:pt idx="2">
                  <c:v>42.85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065888"/>
        <c:axId val="292738640"/>
      </c:radarChart>
      <c:catAx>
        <c:axId val="29206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92738640"/>
        <c:crosses val="autoZero"/>
        <c:auto val="0"/>
        <c:lblAlgn val="ctr"/>
        <c:lblOffset val="100"/>
        <c:noMultiLvlLbl val="0"/>
      </c:catAx>
      <c:valAx>
        <c:axId val="29273864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crossAx val="2920658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tx1">
        <a:lumMod val="50000"/>
        <a:lumOff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112939</xdr:colOff>
      <xdr:row>10</xdr:row>
      <xdr:rowOff>297997</xdr:rowOff>
    </xdr:from>
    <xdr:to>
      <xdr:col>19</xdr:col>
      <xdr:colOff>474889</xdr:colOff>
      <xdr:row>17</xdr:row>
      <xdr:rowOff>217715</xdr:rowOff>
    </xdr:to>
    <xdr:graphicFrame macro="">
      <xdr:nvGraphicFramePr>
        <xdr:cNvPr id="116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112939</xdr:colOff>
      <xdr:row>17</xdr:row>
      <xdr:rowOff>330654</xdr:rowOff>
    </xdr:from>
    <xdr:to>
      <xdr:col>19</xdr:col>
      <xdr:colOff>503464</xdr:colOff>
      <xdr:row>25</xdr:row>
      <xdr:rowOff>202747</xdr:rowOff>
    </xdr:to>
    <xdr:graphicFrame macro="">
      <xdr:nvGraphicFramePr>
        <xdr:cNvPr id="1169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428625</xdr:colOff>
      <xdr:row>0</xdr:row>
      <xdr:rowOff>123825</xdr:rowOff>
    </xdr:from>
    <xdr:to>
      <xdr:col>19</xdr:col>
      <xdr:colOff>209550</xdr:colOff>
      <xdr:row>1</xdr:row>
      <xdr:rowOff>1257300</xdr:rowOff>
    </xdr:to>
    <xdr:pic>
      <xdr:nvPicPr>
        <xdr:cNvPr id="1170" name="Imagem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07075" y="123825"/>
          <a:ext cx="2219325" cy="2371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466725</xdr:colOff>
      <xdr:row>5</xdr:row>
      <xdr:rowOff>19050</xdr:rowOff>
    </xdr:from>
    <xdr:to>
      <xdr:col>19</xdr:col>
      <xdr:colOff>161925</xdr:colOff>
      <xdr:row>5</xdr:row>
      <xdr:rowOff>1104900</xdr:rowOff>
    </xdr:to>
    <xdr:pic>
      <xdr:nvPicPr>
        <xdr:cNvPr id="1171" name="Imagem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45175" y="2781300"/>
          <a:ext cx="21336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104775</xdr:colOff>
      <xdr:row>1</xdr:row>
      <xdr:rowOff>76200</xdr:rowOff>
    </xdr:from>
    <xdr:to>
      <xdr:col>3</xdr:col>
      <xdr:colOff>2228850</xdr:colOff>
      <xdr:row>7</xdr:row>
      <xdr:rowOff>19050</xdr:rowOff>
    </xdr:to>
    <xdr:pic>
      <xdr:nvPicPr>
        <xdr:cNvPr id="2100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266700"/>
          <a:ext cx="21240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190500</xdr:colOff>
      <xdr:row>0</xdr:row>
      <xdr:rowOff>142875</xdr:rowOff>
    </xdr:from>
    <xdr:to>
      <xdr:col>0</xdr:col>
      <xdr:colOff>3124200</xdr:colOff>
      <xdr:row>6</xdr:row>
      <xdr:rowOff>133350</xdr:rowOff>
    </xdr:to>
    <xdr:pic>
      <xdr:nvPicPr>
        <xdr:cNvPr id="2101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42875"/>
          <a:ext cx="29337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A1:O26" totalsRowShown="0" headerRowDxfId="32" dataDxfId="31">
  <autoFilter ref="A1:O26"/>
  <sortState ref="A2:O26">
    <sortCondition ref="B1:B26"/>
  </sortState>
  <tableColumns count="15">
    <tableColumn id="1" name="IMPACTO" dataDxfId="30"/>
    <tableColumn id="2" name="DESCRIÇÃO" dataDxfId="29"/>
    <tableColumn id="3" name="NATUREZA DO IMPACTO" dataDxfId="28"/>
    <tableColumn id="4" name="FASE DE OCORRÊNCIA" dataDxfId="27"/>
    <tableColumn id="5" name="EXPECTATIVA DE OCORRÊNCIA" dataDxfId="26"/>
    <tableColumn id="6" name="ABRANGÊNCIA" dataDxfId="25"/>
    <tableColumn id="7" name="IMPORTÂNCIA" dataDxfId="24"/>
    <tableColumn id="8" name="REVERSIBILIDADE" dataDxfId="23"/>
    <tableColumn id="9" name="PRAZO" dataDxfId="22"/>
    <tableColumn id="10" name="VALORAÇÃO" dataDxfId="21"/>
    <tableColumn id="11" name="MAGNITUDE" dataDxfId="20"/>
    <tableColumn id="12" name=" AÇÃO MITIGADORA / POTENCIALIZADORA" dataDxfId="19"/>
    <tableColumn id="13" name="MITIGAÇÃO (%)" dataDxfId="18"/>
    <tableColumn id="14" name="VAL + MIT" dataDxfId="17"/>
    <tableColumn id="15" name="MAGNITUDE FINAL" dataDxfId="16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O26"/>
  <sheetViews>
    <sheetView zoomScale="70" zoomScaleNormal="70" workbookViewId="0">
      <selection activeCell="A3" sqref="A3:XFD3"/>
    </sheetView>
  </sheetViews>
  <sheetFormatPr defaultRowHeight="15" x14ac:dyDescent="0.25"/>
  <cols>
    <col min="1" max="1" width="52.28515625" style="25" customWidth="1"/>
    <col min="2" max="2" width="52.28515625" style="25" hidden="1" customWidth="1"/>
    <col min="3" max="3" width="31.28515625" customWidth="1"/>
    <col min="4" max="11" width="8.42578125" customWidth="1"/>
    <col min="12" max="12" width="51.5703125" customWidth="1"/>
    <col min="13" max="13" width="14.42578125" customWidth="1"/>
    <col min="14" max="14" width="14.7109375" customWidth="1"/>
    <col min="15" max="15" width="24.42578125" customWidth="1"/>
  </cols>
  <sheetData>
    <row r="1" spans="1:15" s="1" customFormat="1" ht="97.5" customHeight="1" thickBot="1" x14ac:dyDescent="0.3">
      <c r="A1" s="19" t="s">
        <v>0</v>
      </c>
      <c r="B1" s="20" t="s">
        <v>1</v>
      </c>
      <c r="C1" s="20" t="s">
        <v>37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1" t="s">
        <v>9</v>
      </c>
      <c r="L1" s="20" t="s">
        <v>39</v>
      </c>
      <c r="M1" s="20" t="s">
        <v>10</v>
      </c>
      <c r="N1" s="20" t="s">
        <v>13</v>
      </c>
      <c r="O1" s="20" t="s">
        <v>11</v>
      </c>
    </row>
    <row r="2" spans="1:15" s="26" customFormat="1" ht="112.5" customHeight="1" thickTop="1" thickBot="1" x14ac:dyDescent="0.3">
      <c r="A2" s="27" t="s">
        <v>54</v>
      </c>
      <c r="B2" s="28">
        <v>1</v>
      </c>
      <c r="C2" s="29" t="s">
        <v>38</v>
      </c>
      <c r="D2" s="30">
        <v>1</v>
      </c>
      <c r="E2" s="30">
        <v>3</v>
      </c>
      <c r="F2" s="30">
        <v>3</v>
      </c>
      <c r="G2" s="30">
        <v>3</v>
      </c>
      <c r="H2" s="30">
        <v>1</v>
      </c>
      <c r="I2" s="30">
        <v>1</v>
      </c>
      <c r="J2" s="45">
        <f t="shared" ref="J2:J8" si="0">IF($D2&lt;&gt;0,($D2*5+$E2*4.9+$F2*4.8+$G2*4.7+$H2*4.6+$I2*4.5),"")</f>
        <v>57.300000000000004</v>
      </c>
      <c r="K2" s="29" t="str">
        <f t="shared" ref="K2:K8" si="1">IF($J2&lt;=33.17,"NULA",(IF($J2&lt;=66.35,"BAIXA",(IF($J2&lt;=99.52,"MÉDIA",(IF($J2&lt;=132.7,"ALTA","")))))))</f>
        <v>BAIXA</v>
      </c>
      <c r="L2" s="63" t="s">
        <v>55</v>
      </c>
      <c r="M2" s="31">
        <v>10</v>
      </c>
      <c r="N2" s="32">
        <f t="shared" ref="N2:N8" si="2">IF($C2="NEGATIVO",(IF($D2&lt;&gt;0,($J2-($M2*$J2/100)),"")),(IF($C2="POSITIVO","POSITIVO","")))</f>
        <v>51.570000000000007</v>
      </c>
      <c r="O2" s="29" t="str">
        <f t="shared" ref="O2:O8" si="3">IF($N2&lt;=33.17,"NULA",(IF($N2&lt;=66.35,"BAIXA",(IF($N2&lt;=99.52,"MÉDIA",(IF($N2&lt;=132.7,"ALTA","")))))))</f>
        <v>BAIXA</v>
      </c>
    </row>
    <row r="3" spans="1:15" ht="62.25" customHeight="1" thickTop="1" thickBot="1" x14ac:dyDescent="0.3">
      <c r="A3" s="64" t="s">
        <v>44</v>
      </c>
      <c r="B3" s="65"/>
      <c r="C3" s="66" t="s">
        <v>38</v>
      </c>
      <c r="D3" s="67">
        <v>1</v>
      </c>
      <c r="E3" s="67">
        <v>1</v>
      </c>
      <c r="F3" s="67">
        <v>3</v>
      </c>
      <c r="G3" s="67">
        <v>1</v>
      </c>
      <c r="H3" s="67">
        <v>1</v>
      </c>
      <c r="I3" s="67">
        <v>1</v>
      </c>
      <c r="J3" s="45">
        <f t="shared" si="0"/>
        <v>38.099999999999994</v>
      </c>
      <c r="K3" s="29" t="str">
        <f t="shared" si="1"/>
        <v>BAIXA</v>
      </c>
      <c r="L3" s="63" t="s">
        <v>45</v>
      </c>
      <c r="M3" s="68">
        <v>30</v>
      </c>
      <c r="N3" s="32">
        <f t="shared" si="2"/>
        <v>26.669999999999995</v>
      </c>
      <c r="O3" s="29" t="str">
        <f t="shared" si="3"/>
        <v>NULA</v>
      </c>
    </row>
    <row r="4" spans="1:15" ht="57.75" customHeight="1" thickTop="1" x14ac:dyDescent="0.25">
      <c r="A4" s="64" t="s">
        <v>41</v>
      </c>
      <c r="B4" s="65"/>
      <c r="C4" s="66" t="s">
        <v>38</v>
      </c>
      <c r="D4" s="67">
        <v>1</v>
      </c>
      <c r="E4" s="67">
        <v>1</v>
      </c>
      <c r="F4" s="67">
        <v>1</v>
      </c>
      <c r="G4" s="67">
        <v>1</v>
      </c>
      <c r="H4" s="67">
        <v>3</v>
      </c>
      <c r="I4" s="67">
        <v>1</v>
      </c>
      <c r="J4" s="45">
        <f t="shared" si="0"/>
        <v>37.699999999999996</v>
      </c>
      <c r="K4" s="29" t="str">
        <f t="shared" si="1"/>
        <v>BAIXA</v>
      </c>
      <c r="L4" s="63" t="s">
        <v>56</v>
      </c>
      <c r="M4" s="68">
        <v>50</v>
      </c>
      <c r="N4" s="32">
        <f t="shared" si="2"/>
        <v>18.849999999999998</v>
      </c>
      <c r="O4" s="29" t="str">
        <f t="shared" si="3"/>
        <v>NULA</v>
      </c>
    </row>
    <row r="5" spans="1:15" ht="57" customHeight="1" x14ac:dyDescent="0.25">
      <c r="A5" s="41" t="s">
        <v>46</v>
      </c>
      <c r="B5" s="42"/>
      <c r="C5" s="43" t="s">
        <v>38</v>
      </c>
      <c r="D5" s="44">
        <v>5</v>
      </c>
      <c r="E5" s="44">
        <v>3</v>
      </c>
      <c r="F5" s="44">
        <v>3</v>
      </c>
      <c r="G5" s="44">
        <v>1</v>
      </c>
      <c r="H5" s="44">
        <v>3</v>
      </c>
      <c r="I5" s="44">
        <v>3</v>
      </c>
      <c r="J5" s="45">
        <f t="shared" si="0"/>
        <v>86.100000000000009</v>
      </c>
      <c r="K5" s="46" t="str">
        <f t="shared" si="1"/>
        <v>MÉDIA</v>
      </c>
      <c r="L5" s="60" t="s">
        <v>47</v>
      </c>
      <c r="M5" s="47">
        <v>50</v>
      </c>
      <c r="N5" s="48">
        <f t="shared" si="2"/>
        <v>43.050000000000011</v>
      </c>
      <c r="O5" s="46" t="str">
        <f t="shared" si="3"/>
        <v>BAIXA</v>
      </c>
    </row>
    <row r="6" spans="1:15" ht="134.25" customHeight="1" x14ac:dyDescent="0.25">
      <c r="A6" s="41" t="s">
        <v>48</v>
      </c>
      <c r="B6" s="42"/>
      <c r="C6" s="43" t="s">
        <v>38</v>
      </c>
      <c r="D6" s="44">
        <v>5</v>
      </c>
      <c r="E6" s="44">
        <v>1</v>
      </c>
      <c r="F6" s="44">
        <v>5</v>
      </c>
      <c r="G6" s="44">
        <v>1</v>
      </c>
      <c r="H6" s="44">
        <v>1</v>
      </c>
      <c r="I6" s="44">
        <v>5</v>
      </c>
      <c r="J6" s="45">
        <f t="shared" si="0"/>
        <v>85.7</v>
      </c>
      <c r="K6" s="46" t="str">
        <f t="shared" si="1"/>
        <v>MÉDIA</v>
      </c>
      <c r="L6" s="63" t="s">
        <v>57</v>
      </c>
      <c r="M6" s="47">
        <v>50</v>
      </c>
      <c r="N6" s="48">
        <f t="shared" si="2"/>
        <v>42.85</v>
      </c>
      <c r="O6" s="46" t="str">
        <f t="shared" si="3"/>
        <v>BAIXA</v>
      </c>
    </row>
    <row r="7" spans="1:15" ht="139.5" customHeight="1" x14ac:dyDescent="0.25">
      <c r="A7" s="41" t="s">
        <v>49</v>
      </c>
      <c r="B7" s="42"/>
      <c r="C7" s="43" t="s">
        <v>40</v>
      </c>
      <c r="D7" s="44">
        <v>1</v>
      </c>
      <c r="E7" s="44">
        <v>3</v>
      </c>
      <c r="F7" s="44">
        <v>5</v>
      </c>
      <c r="G7" s="44">
        <v>1</v>
      </c>
      <c r="H7" s="44">
        <v>5</v>
      </c>
      <c r="I7" s="44">
        <v>1</v>
      </c>
      <c r="J7" s="45">
        <f t="shared" si="0"/>
        <v>75.900000000000006</v>
      </c>
      <c r="K7" s="46" t="str">
        <f t="shared" si="1"/>
        <v>MÉDIA</v>
      </c>
      <c r="L7" s="63" t="s">
        <v>50</v>
      </c>
      <c r="M7" s="47">
        <v>0</v>
      </c>
      <c r="N7" s="48" t="str">
        <f t="shared" si="2"/>
        <v>POSITIVO</v>
      </c>
      <c r="O7" s="46" t="str">
        <f t="shared" si="3"/>
        <v/>
      </c>
    </row>
    <row r="8" spans="1:15" ht="155.25" customHeight="1" x14ac:dyDescent="0.25">
      <c r="A8" s="41" t="s">
        <v>51</v>
      </c>
      <c r="B8" s="42"/>
      <c r="C8" s="43" t="s">
        <v>40</v>
      </c>
      <c r="D8" s="44">
        <v>5</v>
      </c>
      <c r="E8" s="44">
        <v>3</v>
      </c>
      <c r="F8" s="44">
        <v>5</v>
      </c>
      <c r="G8" s="44">
        <v>1</v>
      </c>
      <c r="H8" s="44">
        <v>5</v>
      </c>
      <c r="I8" s="44">
        <v>5</v>
      </c>
      <c r="J8" s="45">
        <f t="shared" si="0"/>
        <v>113.9</v>
      </c>
      <c r="K8" s="46" t="str">
        <f t="shared" si="1"/>
        <v>ALTA</v>
      </c>
      <c r="L8" s="63" t="s">
        <v>52</v>
      </c>
      <c r="M8" s="47">
        <v>0</v>
      </c>
      <c r="N8" s="48" t="str">
        <f t="shared" si="2"/>
        <v>POSITIVO</v>
      </c>
      <c r="O8" s="46" t="str">
        <f t="shared" si="3"/>
        <v/>
      </c>
    </row>
    <row r="9" spans="1:15" ht="30" customHeight="1" x14ac:dyDescent="0.25">
      <c r="A9" s="41" t="s">
        <v>53</v>
      </c>
      <c r="B9" s="42">
        <v>5</v>
      </c>
      <c r="C9" s="43" t="s">
        <v>40</v>
      </c>
      <c r="D9" s="44">
        <v>1</v>
      </c>
      <c r="E9" s="44">
        <v>3</v>
      </c>
      <c r="F9" s="44">
        <v>3</v>
      </c>
      <c r="G9" s="44">
        <v>1</v>
      </c>
      <c r="H9" s="44">
        <v>5</v>
      </c>
      <c r="I9" s="44">
        <v>5</v>
      </c>
      <c r="J9" s="45">
        <f>IF($D9&lt;&gt;0,($D9*5+$E9*4.9+$F9*4.8+$G9*4.7+$H9*4.6+$I9*4.5),"")</f>
        <v>84.300000000000011</v>
      </c>
      <c r="K9" s="46" t="str">
        <f>IF($J9&lt;=33.17,"NULA",(IF($J9&lt;=66.35,"BAIXA",(IF($J9&lt;=99.52,"MÉDIA",(IF($J9&lt;=132.7,"ALTA","")))))))</f>
        <v>MÉDIA</v>
      </c>
      <c r="L9" s="60"/>
      <c r="M9" s="47">
        <v>0</v>
      </c>
      <c r="N9" s="48" t="str">
        <f>IF($C9="NEGATIVO",(IF($D9&lt;&gt;0,($J9-($M9*$J9/100)),"")),(IF($C9="POSITIVO","POSITIVO","")))</f>
        <v>POSITIVO</v>
      </c>
      <c r="O9" s="46" t="str">
        <f>IF($N9&lt;=33.17,"NULA",(IF($N9&lt;=66.35,"BAIXA",(IF($N9&lt;=99.52,"MÉDIA",(IF($N9&lt;=132.7,"ALTA","")))))))</f>
        <v/>
      </c>
    </row>
    <row r="10" spans="1:15" ht="65.25" customHeight="1" x14ac:dyDescent="0.25">
      <c r="A10" s="41"/>
      <c r="B10" s="42"/>
      <c r="C10" s="43"/>
      <c r="D10" s="44"/>
      <c r="E10" s="44"/>
      <c r="F10" s="44"/>
      <c r="G10" s="44"/>
      <c r="H10" s="44"/>
      <c r="I10" s="44"/>
      <c r="J10" s="45"/>
      <c r="K10" s="46"/>
      <c r="L10" s="60"/>
      <c r="M10" s="47"/>
      <c r="N10" s="48"/>
      <c r="O10" s="46"/>
    </row>
    <row r="11" spans="1:15" ht="44.25" customHeight="1" x14ac:dyDescent="0.25">
      <c r="A11" s="33"/>
      <c r="B11" s="34"/>
      <c r="C11" s="35"/>
      <c r="D11" s="36"/>
      <c r="E11" s="36"/>
      <c r="F11" s="36"/>
      <c r="G11" s="36"/>
      <c r="H11" s="36"/>
      <c r="I11" s="36"/>
      <c r="J11" s="45"/>
      <c r="K11" s="38"/>
      <c r="L11" s="59"/>
      <c r="M11" s="39"/>
      <c r="N11" s="40"/>
      <c r="O11" s="38"/>
    </row>
    <row r="12" spans="1:15" ht="86.25" customHeight="1" x14ac:dyDescent="0.25">
      <c r="A12" s="41"/>
      <c r="B12" s="42"/>
      <c r="C12" s="43"/>
      <c r="D12" s="44"/>
      <c r="E12" s="44"/>
      <c r="F12" s="44"/>
      <c r="G12" s="44"/>
      <c r="H12" s="44"/>
      <c r="I12" s="44"/>
      <c r="J12" s="45"/>
      <c r="K12" s="43"/>
      <c r="L12" s="60"/>
      <c r="M12" s="47"/>
      <c r="N12" s="49"/>
      <c r="O12" s="43"/>
    </row>
    <row r="13" spans="1:15" s="26" customFormat="1" ht="271.5" customHeight="1" x14ac:dyDescent="0.25">
      <c r="A13" s="50"/>
      <c r="B13" s="51"/>
      <c r="C13" s="52"/>
      <c r="D13" s="53"/>
      <c r="E13" s="53"/>
      <c r="F13" s="53"/>
      <c r="G13" s="53"/>
      <c r="H13" s="53"/>
      <c r="I13" s="53"/>
      <c r="J13" s="45"/>
      <c r="K13" s="54"/>
      <c r="L13" s="61"/>
      <c r="M13" s="55"/>
      <c r="N13" s="56"/>
      <c r="O13" s="54"/>
    </row>
    <row r="14" spans="1:15" ht="95.25" customHeight="1" x14ac:dyDescent="0.25">
      <c r="A14" s="41"/>
      <c r="B14" s="42"/>
      <c r="C14" s="43"/>
      <c r="D14" s="44"/>
      <c r="E14" s="44"/>
      <c r="F14" s="44"/>
      <c r="G14" s="44"/>
      <c r="H14" s="44"/>
      <c r="I14" s="44"/>
      <c r="J14" s="45"/>
      <c r="K14" s="46"/>
      <c r="L14" s="60"/>
      <c r="M14" s="47"/>
      <c r="N14" s="48"/>
      <c r="O14" s="46"/>
    </row>
    <row r="15" spans="1:15" ht="102.75" customHeight="1" x14ac:dyDescent="0.25">
      <c r="A15" s="33"/>
      <c r="B15" s="34"/>
      <c r="C15" s="35"/>
      <c r="D15" s="36"/>
      <c r="E15" s="36"/>
      <c r="F15" s="36"/>
      <c r="G15" s="36"/>
      <c r="H15" s="36"/>
      <c r="I15" s="36"/>
      <c r="J15" s="45"/>
      <c r="K15" s="35"/>
      <c r="L15" s="62"/>
      <c r="M15" s="39"/>
      <c r="N15" s="57"/>
      <c r="O15" s="35"/>
    </row>
    <row r="16" spans="1:15" ht="30" customHeight="1" x14ac:dyDescent="0.25">
      <c r="A16" s="41"/>
      <c r="B16" s="42"/>
      <c r="C16" s="43"/>
      <c r="D16" s="44"/>
      <c r="E16" s="44"/>
      <c r="F16" s="44"/>
      <c r="G16" s="44"/>
      <c r="H16" s="44"/>
      <c r="I16" s="44"/>
      <c r="J16" s="45" t="str">
        <f t="shared" ref="J16:J25" si="4">IF($D16&lt;&gt;0,($D16*5+$E16*4.9+$F16*4.8+$G16*4.7+$H16*4.6+$I16*4.5),"")</f>
        <v/>
      </c>
      <c r="K16" s="46" t="str">
        <f t="shared" ref="K16:K25" si="5">IF($J16&lt;=33.17,"NULA",(IF($J16&lt;=66.35,"BAIXA",(IF($J16&lt;=99.52,"MÉDIA",(IF($J16&lt;=132.7,"ALTA","")))))))</f>
        <v/>
      </c>
      <c r="L16" s="43"/>
      <c r="M16" s="47"/>
      <c r="N16" s="48" t="str">
        <f t="shared" ref="N16:N25" si="6">IF($C16="NEGATIVO",(IF($D16&lt;&gt;0,($J16-($M16*$J16/100)),"")),(IF($C16="POSITIVO","POSITIVO","")))</f>
        <v/>
      </c>
      <c r="O16" s="46" t="str">
        <f t="shared" ref="O16:O25" si="7">IF($N16&lt;=33.17,"NULA",(IF($N16&lt;=66.35,"BAIXA",(IF($N16&lt;=99.52,"MÉDIA",(IF($N16&lt;=132.7,"ALTA","")))))))</f>
        <v/>
      </c>
    </row>
    <row r="17" spans="1:15" ht="30" customHeight="1" x14ac:dyDescent="0.25">
      <c r="A17" s="33"/>
      <c r="B17" s="34"/>
      <c r="C17" s="35"/>
      <c r="D17" s="36"/>
      <c r="E17" s="36"/>
      <c r="F17" s="36"/>
      <c r="G17" s="36"/>
      <c r="H17" s="36"/>
      <c r="I17" s="36"/>
      <c r="J17" s="37" t="str">
        <f t="shared" si="4"/>
        <v/>
      </c>
      <c r="K17" s="38" t="str">
        <f t="shared" si="5"/>
        <v/>
      </c>
      <c r="L17" s="35"/>
      <c r="M17" s="39"/>
      <c r="N17" s="40" t="str">
        <f t="shared" si="6"/>
        <v/>
      </c>
      <c r="O17" s="38" t="str">
        <f t="shared" si="7"/>
        <v/>
      </c>
    </row>
    <row r="18" spans="1:15" ht="30" customHeight="1" x14ac:dyDescent="0.25">
      <c r="A18" s="41"/>
      <c r="B18" s="42"/>
      <c r="C18" s="43"/>
      <c r="D18" s="44"/>
      <c r="E18" s="44"/>
      <c r="F18" s="44"/>
      <c r="G18" s="44"/>
      <c r="H18" s="44"/>
      <c r="I18" s="44"/>
      <c r="J18" s="45" t="str">
        <f t="shared" si="4"/>
        <v/>
      </c>
      <c r="K18" s="46" t="str">
        <f t="shared" si="5"/>
        <v/>
      </c>
      <c r="L18" s="43"/>
      <c r="M18" s="47"/>
      <c r="N18" s="48" t="str">
        <f t="shared" si="6"/>
        <v/>
      </c>
      <c r="O18" s="46" t="str">
        <f t="shared" si="7"/>
        <v/>
      </c>
    </row>
    <row r="19" spans="1:15" ht="30" customHeight="1" x14ac:dyDescent="0.25">
      <c r="A19" s="33"/>
      <c r="B19" s="34"/>
      <c r="C19" s="35"/>
      <c r="D19" s="36"/>
      <c r="E19" s="36"/>
      <c r="F19" s="36"/>
      <c r="G19" s="36"/>
      <c r="H19" s="36"/>
      <c r="I19" s="36"/>
      <c r="J19" s="37" t="str">
        <f t="shared" si="4"/>
        <v/>
      </c>
      <c r="K19" s="38" t="str">
        <f t="shared" si="5"/>
        <v/>
      </c>
      <c r="L19" s="35"/>
      <c r="M19" s="39"/>
      <c r="N19" s="40" t="str">
        <f t="shared" si="6"/>
        <v/>
      </c>
      <c r="O19" s="38" t="str">
        <f t="shared" si="7"/>
        <v/>
      </c>
    </row>
    <row r="20" spans="1:15" ht="30" customHeight="1" x14ac:dyDescent="0.25">
      <c r="A20" s="41"/>
      <c r="B20" s="42"/>
      <c r="C20" s="43"/>
      <c r="D20" s="44"/>
      <c r="E20" s="44"/>
      <c r="F20" s="44"/>
      <c r="G20" s="44"/>
      <c r="H20" s="58"/>
      <c r="I20" s="58"/>
      <c r="J20" s="45" t="str">
        <f t="shared" si="4"/>
        <v/>
      </c>
      <c r="K20" s="46" t="str">
        <f t="shared" si="5"/>
        <v/>
      </c>
      <c r="L20" s="43"/>
      <c r="M20" s="47"/>
      <c r="N20" s="48" t="str">
        <f t="shared" si="6"/>
        <v/>
      </c>
      <c r="O20" s="46" t="str">
        <f t="shared" si="7"/>
        <v/>
      </c>
    </row>
    <row r="21" spans="1:15" ht="30" customHeight="1" x14ac:dyDescent="0.25">
      <c r="A21" s="33"/>
      <c r="B21" s="34"/>
      <c r="C21" s="35"/>
      <c r="D21" s="36"/>
      <c r="E21" s="36"/>
      <c r="F21" s="36"/>
      <c r="G21" s="36"/>
      <c r="H21" s="36"/>
      <c r="I21" s="36"/>
      <c r="J21" s="37" t="str">
        <f t="shared" si="4"/>
        <v/>
      </c>
      <c r="K21" s="38" t="str">
        <f t="shared" si="5"/>
        <v/>
      </c>
      <c r="L21" s="35"/>
      <c r="M21" s="39"/>
      <c r="N21" s="40" t="str">
        <f t="shared" si="6"/>
        <v/>
      </c>
      <c r="O21" s="38" t="str">
        <f t="shared" si="7"/>
        <v/>
      </c>
    </row>
    <row r="22" spans="1:15" ht="30" customHeight="1" x14ac:dyDescent="0.25">
      <c r="A22" s="41"/>
      <c r="B22" s="42"/>
      <c r="C22" s="43"/>
      <c r="D22" s="44"/>
      <c r="E22" s="44"/>
      <c r="F22" s="44"/>
      <c r="G22" s="44"/>
      <c r="H22" s="44"/>
      <c r="I22" s="44"/>
      <c r="J22" s="45" t="str">
        <f t="shared" si="4"/>
        <v/>
      </c>
      <c r="K22" s="46" t="str">
        <f t="shared" si="5"/>
        <v/>
      </c>
      <c r="L22" s="43"/>
      <c r="M22" s="47"/>
      <c r="N22" s="48" t="str">
        <f t="shared" si="6"/>
        <v/>
      </c>
      <c r="O22" s="46" t="str">
        <f t="shared" si="7"/>
        <v/>
      </c>
    </row>
    <row r="23" spans="1:15" ht="30" customHeight="1" x14ac:dyDescent="0.25">
      <c r="A23" s="33"/>
      <c r="B23" s="34"/>
      <c r="C23" s="35"/>
      <c r="D23" s="36"/>
      <c r="E23" s="36"/>
      <c r="F23" s="36"/>
      <c r="G23" s="36"/>
      <c r="H23" s="36"/>
      <c r="I23" s="36"/>
      <c r="J23" s="37" t="str">
        <f t="shared" si="4"/>
        <v/>
      </c>
      <c r="K23" s="38" t="str">
        <f t="shared" si="5"/>
        <v/>
      </c>
      <c r="L23" s="35"/>
      <c r="M23" s="39"/>
      <c r="N23" s="40" t="str">
        <f t="shared" si="6"/>
        <v/>
      </c>
      <c r="O23" s="38" t="str">
        <f t="shared" si="7"/>
        <v/>
      </c>
    </row>
    <row r="24" spans="1:15" ht="30" customHeight="1" x14ac:dyDescent="0.25">
      <c r="A24" s="41"/>
      <c r="B24" s="42"/>
      <c r="C24" s="43"/>
      <c r="D24" s="44"/>
      <c r="E24" s="44"/>
      <c r="F24" s="44"/>
      <c r="G24" s="44"/>
      <c r="H24" s="44"/>
      <c r="I24" s="44"/>
      <c r="J24" s="45" t="str">
        <f t="shared" si="4"/>
        <v/>
      </c>
      <c r="K24" s="46" t="str">
        <f t="shared" si="5"/>
        <v/>
      </c>
      <c r="L24" s="43"/>
      <c r="M24" s="47"/>
      <c r="N24" s="48" t="str">
        <f t="shared" si="6"/>
        <v/>
      </c>
      <c r="O24" s="46" t="str">
        <f t="shared" si="7"/>
        <v/>
      </c>
    </row>
    <row r="25" spans="1:15" ht="15.75" thickBot="1" x14ac:dyDescent="0.3">
      <c r="A25" s="41"/>
      <c r="B25" s="42"/>
      <c r="C25" s="43"/>
      <c r="D25" s="44"/>
      <c r="E25" s="44"/>
      <c r="F25" s="44"/>
      <c r="G25" s="44"/>
      <c r="H25" s="44"/>
      <c r="I25" s="44"/>
      <c r="J25" s="45" t="str">
        <f t="shared" si="4"/>
        <v/>
      </c>
      <c r="K25" s="46" t="str">
        <f t="shared" si="5"/>
        <v/>
      </c>
      <c r="L25" s="43"/>
      <c r="M25" s="47"/>
      <c r="N25" s="48" t="str">
        <f t="shared" si="6"/>
        <v/>
      </c>
      <c r="O25" s="46" t="str">
        <f t="shared" si="7"/>
        <v/>
      </c>
    </row>
    <row r="26" spans="1:15" ht="21.75" thickTop="1" x14ac:dyDescent="0.25">
      <c r="A26" s="23" t="s">
        <v>12</v>
      </c>
      <c r="B26" s="24"/>
      <c r="C26" s="18"/>
      <c r="D26" s="18"/>
      <c r="E26" s="18"/>
      <c r="F26" s="18"/>
      <c r="G26" s="18"/>
      <c r="H26" s="18"/>
      <c r="I26" s="18"/>
      <c r="J26" s="18">
        <f>SUBTOTAL(101,J2:J25)</f>
        <v>72.375</v>
      </c>
      <c r="K26" s="18"/>
      <c r="L26" s="18"/>
      <c r="M26" s="22"/>
      <c r="N26" s="18">
        <f>SUBTOTAL(101,N2:N25)</f>
        <v>36.597999999999999</v>
      </c>
      <c r="O26" s="18">
        <f>IF(N26&lt;=33.17,1,(IF(N26&lt;=66.35,2,(IF(N26&lt;=99.52,3,(IF(N26&lt;=132.7,4,"")))))))</f>
        <v>2</v>
      </c>
    </row>
  </sheetData>
  <sheetProtection insertRows="0" deleteRows="0"/>
  <conditionalFormatting sqref="K11:L14 K16:L25 K15 K2:K10 O2:O25">
    <cfRule type="cellIs" dxfId="10" priority="19" operator="equal">
      <formula>"ALTA"</formula>
    </cfRule>
    <cfRule type="cellIs" dxfId="9" priority="20" operator="equal">
      <formula>"MÉDIA"</formula>
    </cfRule>
    <cfRule type="cellIs" dxfId="8" priority="21" operator="equal">
      <formula>"BAIXA"</formula>
    </cfRule>
    <cfRule type="cellIs" dxfId="7" priority="22" operator="equal">
      <formula>"NULA"</formula>
    </cfRule>
  </conditionalFormatting>
  <conditionalFormatting sqref="C2:C25">
    <cfRule type="cellIs" dxfId="6" priority="13" operator="equal">
      <formula>"POSITIVO"</formula>
    </cfRule>
    <cfRule type="cellIs" dxfId="5" priority="14" operator="equal">
      <formula>"NEGATIVO"</formula>
    </cfRule>
  </conditionalFormatting>
  <conditionalFormatting sqref="N2:N25">
    <cfRule type="cellIs" dxfId="4" priority="12" operator="equal">
      <formula>"POSITIVO"</formula>
    </cfRule>
  </conditionalFormatting>
  <conditionalFormatting sqref="L5:L7 L9:L10">
    <cfRule type="cellIs" dxfId="3" priority="4" operator="equal">
      <formula>"ALTA"</formula>
    </cfRule>
    <cfRule type="cellIs" dxfId="2" priority="5" operator="equal">
      <formula>"MÉDIA"</formula>
    </cfRule>
    <cfRule type="cellIs" dxfId="1" priority="6" operator="equal">
      <formula>"BAIXA"</formula>
    </cfRule>
    <cfRule type="cellIs" dxfId="0" priority="7" operator="equal">
      <formula>"NULA"</formula>
    </cfRule>
  </conditionalFormatting>
  <dataValidations count="5">
    <dataValidation type="list" operator="equal" allowBlank="1" showInputMessage="1" showErrorMessage="1" sqref="D2:D25">
      <formula1>"1,5"</formula1>
    </dataValidation>
    <dataValidation type="list" allowBlank="1" showInputMessage="1" showErrorMessage="1" sqref="E2:E25">
      <formula1>"1,3"</formula1>
    </dataValidation>
    <dataValidation type="list" allowBlank="1" showInputMessage="1" showErrorMessage="1" sqref="F2:I25">
      <formula1>"1,3,5"</formula1>
    </dataValidation>
    <dataValidation type="list" allowBlank="1" showInputMessage="1" showErrorMessage="1" sqref="M2:M25">
      <formula1>"0,10,30,50,80"</formula1>
    </dataValidation>
    <dataValidation type="list" allowBlank="1" showInputMessage="1" showErrorMessage="1" sqref="C2:C25">
      <formula1>"POSITIVO,NEGATIVO"</formula1>
    </dataValidation>
  </dataValidations>
  <pageMargins left="0.25" right="0.25" top="0.75" bottom="0.75" header="0.3" footer="0.3"/>
  <pageSetup paperSize="8" scale="57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8:D41"/>
  <sheetViews>
    <sheetView tabSelected="1" topLeftCell="A7" workbookViewId="0">
      <selection activeCell="D34" sqref="D34"/>
    </sheetView>
  </sheetViews>
  <sheetFormatPr defaultRowHeight="15" x14ac:dyDescent="0.25"/>
  <cols>
    <col min="1" max="1" width="62" style="3" customWidth="1"/>
    <col min="2" max="2" width="5.140625" style="2" bestFit="1" customWidth="1"/>
    <col min="3" max="3" width="18" style="4" bestFit="1" customWidth="1"/>
    <col min="4" max="4" width="37.140625" style="5" customWidth="1"/>
    <col min="5" max="16384" width="9.140625" style="4"/>
  </cols>
  <sheetData>
    <row r="18" spans="1:4" x14ac:dyDescent="0.25">
      <c r="A18" s="69" t="s">
        <v>14</v>
      </c>
      <c r="B18" s="70"/>
      <c r="C18" s="11">
        <v>2</v>
      </c>
      <c r="D18" s="7" t="str">
        <f>IF(C18=1,"ZACI | ZAN",(IF(C18=2,"ZACC | ZACS | ZACER | ZEE | ZAV | ZEI | ZEIS | outros",(IF(C18=3,"ZOR | AEIPH | AEITUR","")))))</f>
        <v>ZACC | ZACS | ZACER | ZEE | ZAV | ZEI | ZEIS | outros</v>
      </c>
    </row>
    <row r="19" spans="1:4" x14ac:dyDescent="0.25">
      <c r="A19" s="69" t="s">
        <v>15</v>
      </c>
      <c r="B19" s="70"/>
      <c r="C19" s="12">
        <v>1485.36</v>
      </c>
    </row>
    <row r="20" spans="1:4" x14ac:dyDescent="0.25">
      <c r="A20" s="69" t="s">
        <v>16</v>
      </c>
      <c r="B20" s="70"/>
      <c r="C20" s="13">
        <v>1848.59</v>
      </c>
    </row>
    <row r="21" spans="1:4" x14ac:dyDescent="0.25">
      <c r="A21" s="69" t="s">
        <v>17</v>
      </c>
      <c r="B21" s="70"/>
      <c r="C21" s="14">
        <f>C19*C20</f>
        <v>2745821.6423999998</v>
      </c>
    </row>
    <row r="22" spans="1:4" x14ac:dyDescent="0.25">
      <c r="C22" s="6"/>
    </row>
    <row r="24" spans="1:4" x14ac:dyDescent="0.25">
      <c r="A24" s="10" t="s">
        <v>28</v>
      </c>
      <c r="B24" s="9" t="s">
        <v>18</v>
      </c>
      <c r="C24" s="15">
        <f>'MATRIZ IMPACTOS'!O26</f>
        <v>2</v>
      </c>
      <c r="D24" s="7" t="str">
        <f>IF(C24=1,"NULO",(IF(C24=2,"BAIXA",(IF(C24=3,"MÉDIA",(IF(C24=4,"ALTA","")))))))</f>
        <v>BAIXA</v>
      </c>
    </row>
    <row r="25" spans="1:4" ht="33.75" customHeight="1" x14ac:dyDescent="0.25">
      <c r="A25" s="10" t="s">
        <v>29</v>
      </c>
      <c r="B25" s="9" t="s">
        <v>19</v>
      </c>
      <c r="C25" s="11">
        <v>0</v>
      </c>
      <c r="D25" s="7" t="str">
        <f>IF(C25=0,"Causa pequeno impacto nos recursos naturais",(IF(C25=1,"Impacta os recursos naturais, mas o empreendimento é demanda reprimida no município",(IF(C25=2,"Impacta os recursos naturais e o empreendimentos não é demanda reprimida no município",(IF(C25=3,"Impacta os recursos naturais, o empreendimento não é demanda reprimida no município e irá se localizar em área com biodiversidade pouco comprometida","")))))))</f>
        <v>Causa pequeno impacto nos recursos naturais</v>
      </c>
    </row>
    <row r="26" spans="1:4" ht="33.75" customHeight="1" x14ac:dyDescent="0.25">
      <c r="A26" s="10" t="s">
        <v>30</v>
      </c>
      <c r="B26" s="9" t="s">
        <v>20</v>
      </c>
      <c r="C26" s="11">
        <v>1</v>
      </c>
      <c r="D26" s="7" t="str">
        <f>IF(C26=1,"Impactos limitados a um raio de 0 a 1 km",(IF(C26=2,"Impactos limitados a um raio de 1 a 3 km",(IF(C26=3,"Impactos limitados a um raio de 3 a 5 km",(IF(C26=4,"Impactos que ultrapassam um raio de 5 km","")))))))</f>
        <v>Impactos limitados a um raio de 0 a 1 km</v>
      </c>
    </row>
    <row r="27" spans="1:4" ht="33.75" customHeight="1" x14ac:dyDescent="0.25">
      <c r="A27" s="10" t="s">
        <v>31</v>
      </c>
      <c r="B27" s="9" t="s">
        <v>21</v>
      </c>
      <c r="C27" s="11">
        <v>1</v>
      </c>
      <c r="D27" s="7" t="str">
        <f>IF(C27=1,"Imediata | de 0 a 1 ano após a instalação do empreendimento",(IF(C27=2,"Curta | superior a 1 e até 3 anos após a instalação do empreendimento",(IF(C27=3,"Média | superior a 3 e até 5 anos após a instalação do empreendimento",(IF(C27=4,"Longa | superior a 5 anos após a instalação do empreendimento","")))))))</f>
        <v>Imediata | de 0 a 1 ano após a instalação do empreendimento</v>
      </c>
    </row>
    <row r="28" spans="1:4" ht="33.75" customHeight="1" x14ac:dyDescent="0.25">
      <c r="A28" s="10" t="s">
        <v>32</v>
      </c>
      <c r="B28" s="9" t="s">
        <v>22</v>
      </c>
      <c r="C28" s="11">
        <v>3</v>
      </c>
      <c r="D28" s="7" t="str">
        <f>IF(C28=0,"Infraestrutura da vizinhança não está comprometida e empreendimento ou mitigações contribuem com melhoras nestes serviços",(IF(C28=1,"Infraestrutura da vizinhança não está comprometida",(IF(C28=2,"Infraestrutura da vizinhança está comprometida , porém empreendimento ou mitigações contribuem com melhorias nestes serviços",(IF(C28=3,"Infraestrutura da vizinhança está comprometida e o empreendimento não possui medidas mitigadoras efetivas","")))))))</f>
        <v>Infraestrutura da vizinhança está comprometida e o empreendimento não possui medidas mitigadoras efetivas</v>
      </c>
    </row>
    <row r="29" spans="1:4" x14ac:dyDescent="0.25">
      <c r="C29" s="2"/>
    </row>
    <row r="31" spans="1:4" x14ac:dyDescent="0.25">
      <c r="A31" s="10" t="s">
        <v>33</v>
      </c>
      <c r="B31" s="9" t="s">
        <v>23</v>
      </c>
      <c r="C31" s="16">
        <f>C24*C25*(C26+C27)/320</f>
        <v>0</v>
      </c>
    </row>
    <row r="32" spans="1:4" x14ac:dyDescent="0.25">
      <c r="A32" s="10" t="s">
        <v>34</v>
      </c>
      <c r="B32" s="9" t="s">
        <v>24</v>
      </c>
      <c r="C32" s="16">
        <f>C24*C27*C28/160</f>
        <v>3.7499999999999999E-2</v>
      </c>
    </row>
    <row r="33" spans="1:3" x14ac:dyDescent="0.25">
      <c r="A33" s="10" t="s">
        <v>35</v>
      </c>
      <c r="B33" s="9" t="s">
        <v>25</v>
      </c>
      <c r="C33" s="16">
        <f>IF(C18=1,0.9,(IF(C18=2,0.7,(IF(C18=3,0.5,"")))))</f>
        <v>0.7</v>
      </c>
    </row>
    <row r="34" spans="1:3" x14ac:dyDescent="0.25">
      <c r="C34" s="2"/>
    </row>
    <row r="35" spans="1:3" x14ac:dyDescent="0.25">
      <c r="A35" s="10" t="s">
        <v>36</v>
      </c>
      <c r="B35" s="9" t="s">
        <v>26</v>
      </c>
      <c r="C35" s="16">
        <f>SUM(C31:C33)</f>
        <v>0.73749999999999993</v>
      </c>
    </row>
    <row r="37" spans="1:3" x14ac:dyDescent="0.25">
      <c r="A37" s="10" t="s">
        <v>43</v>
      </c>
      <c r="B37" s="9" t="s">
        <v>27</v>
      </c>
      <c r="C37" s="8">
        <f>C21*C35/100</f>
        <v>20250.434612699995</v>
      </c>
    </row>
    <row r="38" spans="1:3" x14ac:dyDescent="0.25">
      <c r="A38" s="3" t="s">
        <v>42</v>
      </c>
      <c r="B38" s="2" t="s">
        <v>27</v>
      </c>
      <c r="C38" s="4">
        <f>C37/C20</f>
        <v>10.954529999999998</v>
      </c>
    </row>
    <row r="39" spans="1:3" x14ac:dyDescent="0.25">
      <c r="C39" s="17"/>
    </row>
    <row r="41" spans="1:3" x14ac:dyDescent="0.25">
      <c r="C41" s="6"/>
    </row>
  </sheetData>
  <mergeCells count="4">
    <mergeCell ref="A18:B18"/>
    <mergeCell ref="A19:B19"/>
    <mergeCell ref="A20:B20"/>
    <mergeCell ref="A21:B21"/>
  </mergeCells>
  <dataValidations count="3">
    <dataValidation type="list" allowBlank="1" showInputMessage="1" showErrorMessage="1" sqref="C18">
      <formula1>"1,2,3"</formula1>
    </dataValidation>
    <dataValidation type="list" allowBlank="1" showInputMessage="1" showErrorMessage="1" sqref="C28:C29 C25">
      <formula1>"0,1,2,3"</formula1>
    </dataValidation>
    <dataValidation type="list" allowBlank="1" showInputMessage="1" showErrorMessage="1" sqref="C26:C27">
      <formula1>"1,2,3,4"</formula1>
    </dataValidation>
  </dataValidations>
  <pageMargins left="0.511811024" right="0.511811024" top="0.78740157499999996" bottom="0.78740157499999996" header="0.31496062000000002" footer="0.31496062000000002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MATRIZ IMPACTOS</vt:lpstr>
      <vt:lpstr>VALOR CONTRAPARTIDA</vt:lpstr>
      <vt:lpstr>'MATRIZ IMPACTOS'!Area_de_impressao</vt:lpstr>
      <vt:lpstr>'VALOR CONTRAPARTIDA'!Area_de_impressao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Miranda Becker</dc:creator>
  <cp:lastModifiedBy>User</cp:lastModifiedBy>
  <cp:lastPrinted>2018-09-12T18:10:22Z</cp:lastPrinted>
  <dcterms:created xsi:type="dcterms:W3CDTF">2018-05-04T18:47:20Z</dcterms:created>
  <dcterms:modified xsi:type="dcterms:W3CDTF">2019-08-23T17:03:19Z</dcterms:modified>
</cp:coreProperties>
</file>